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0730" windowHeight="9975"/>
  </bookViews>
  <sheets>
    <sheet name="9 місяців 2017 рік " sheetId="1" r:id="rId1"/>
  </sheets>
  <calcPr calcId="144525"/>
</workbook>
</file>

<file path=xl/calcChain.xml><?xml version="1.0" encoding="utf-8"?>
<calcChain xmlns="http://schemas.openxmlformats.org/spreadsheetml/2006/main">
  <c r="E68" i="1" l="1"/>
  <c r="E14" i="1"/>
  <c r="D67" i="1" l="1"/>
  <c r="E67" i="1" s="1"/>
  <c r="C67" i="1"/>
  <c r="D66" i="1"/>
  <c r="E66" i="1" s="1"/>
  <c r="C66" i="1"/>
  <c r="D65" i="1"/>
  <c r="C65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D63" i="1"/>
  <c r="E63" i="1" s="1"/>
  <c r="C63" i="1"/>
  <c r="D62" i="1"/>
  <c r="E62" i="1" s="1"/>
  <c r="C62" i="1"/>
  <c r="I61" i="1"/>
  <c r="D61" i="1" s="1"/>
  <c r="E61" i="1" s="1"/>
  <c r="C61" i="1"/>
  <c r="K60" i="1"/>
  <c r="I60" i="1"/>
  <c r="G60" i="1"/>
  <c r="D60" i="1"/>
  <c r="E60" i="1" s="1"/>
  <c r="C60" i="1"/>
  <c r="K59" i="1"/>
  <c r="D59" i="1" s="1"/>
  <c r="E59" i="1" s="1"/>
  <c r="I59" i="1"/>
  <c r="H59" i="1"/>
  <c r="G59" i="1"/>
  <c r="F59" i="1"/>
  <c r="C59" i="1"/>
  <c r="I58" i="1"/>
  <c r="G58" i="1"/>
  <c r="D58" i="1" s="1"/>
  <c r="E58" i="1" s="1"/>
  <c r="C58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K45" i="1"/>
  <c r="I45" i="1"/>
  <c r="D45" i="1" s="1"/>
  <c r="E45" i="1" s="1"/>
  <c r="C45" i="1"/>
  <c r="Q44" i="1"/>
  <c r="O44" i="1"/>
  <c r="D44" i="1" s="1"/>
  <c r="E44" i="1" s="1"/>
  <c r="C44" i="1"/>
  <c r="Q43" i="1"/>
  <c r="P43" i="1"/>
  <c r="D43" i="1"/>
  <c r="C43" i="1"/>
  <c r="D42" i="1"/>
  <c r="C42" i="1"/>
  <c r="D41" i="1"/>
  <c r="C41" i="1"/>
  <c r="Q40" i="1"/>
  <c r="O40" i="1"/>
  <c r="M40" i="1"/>
  <c r="K40" i="1"/>
  <c r="J40" i="1"/>
  <c r="I40" i="1"/>
  <c r="H40" i="1"/>
  <c r="G40" i="1"/>
  <c r="F40" i="1"/>
  <c r="D40" i="1"/>
  <c r="E40" i="1" s="1"/>
  <c r="C40" i="1"/>
  <c r="D39" i="1"/>
  <c r="E39" i="1" s="1"/>
  <c r="C39" i="1"/>
  <c r="D38" i="1"/>
  <c r="E38" i="1" s="1"/>
  <c r="C38" i="1"/>
  <c r="O37" i="1"/>
  <c r="K37" i="1"/>
  <c r="I37" i="1"/>
  <c r="D37" i="1" s="1"/>
  <c r="E37" i="1" s="1"/>
  <c r="G37" i="1"/>
  <c r="F37" i="1"/>
  <c r="C37" i="1"/>
  <c r="D36" i="1"/>
  <c r="C36" i="1"/>
  <c r="D35" i="1"/>
  <c r="C35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D33" i="1"/>
  <c r="C33" i="1"/>
  <c r="D32" i="1"/>
  <c r="C32" i="1"/>
  <c r="Q31" i="1"/>
  <c r="P31" i="1"/>
  <c r="D31" i="1"/>
  <c r="C31" i="1"/>
  <c r="D30" i="1"/>
  <c r="C30" i="1"/>
  <c r="Q29" i="1"/>
  <c r="P29" i="1"/>
  <c r="D29" i="1"/>
  <c r="C29" i="1"/>
  <c r="Q28" i="1"/>
  <c r="P28" i="1"/>
  <c r="D28" i="1"/>
  <c r="C28" i="1"/>
  <c r="Q27" i="1"/>
  <c r="P27" i="1"/>
  <c r="C27" i="1" s="1"/>
  <c r="J27" i="1"/>
  <c r="D27" i="1"/>
  <c r="Q26" i="1"/>
  <c r="D26" i="1" s="1"/>
  <c r="E26" i="1" s="1"/>
  <c r="P26" i="1"/>
  <c r="N26" i="1"/>
  <c r="C26" i="1"/>
  <c r="Q25" i="1"/>
  <c r="O25" i="1"/>
  <c r="M25" i="1"/>
  <c r="D25" i="1"/>
  <c r="E25" i="1" s="1"/>
  <c r="C25" i="1"/>
  <c r="D24" i="1"/>
  <c r="E24" i="1" s="1"/>
  <c r="C24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D22" i="1"/>
  <c r="E22" i="1" s="1"/>
  <c r="C22" i="1"/>
  <c r="D21" i="1"/>
  <c r="E21" i="1" s="1"/>
  <c r="C21" i="1"/>
  <c r="D20" i="1"/>
  <c r="E20" i="1" s="1"/>
  <c r="C20" i="1"/>
  <c r="D19" i="1"/>
  <c r="E19" i="1" s="1"/>
  <c r="C19" i="1"/>
  <c r="Q18" i="1"/>
  <c r="O18" i="1"/>
  <c r="D18" i="1"/>
  <c r="E18" i="1" s="1"/>
  <c r="C18" i="1"/>
  <c r="D17" i="1"/>
  <c r="E17" i="1" s="1"/>
  <c r="C17" i="1"/>
  <c r="W16" i="1"/>
  <c r="D16" i="1" s="1"/>
  <c r="E16" i="1" s="1"/>
  <c r="Q16" i="1"/>
  <c r="J16" i="1"/>
  <c r="C16" i="1"/>
  <c r="D15" i="1"/>
  <c r="C15" i="1"/>
  <c r="D14" i="1"/>
  <c r="C14" i="1"/>
  <c r="Q13" i="1"/>
  <c r="H13" i="1"/>
  <c r="D13" i="1"/>
  <c r="C13" i="1"/>
  <c r="AC11" i="1"/>
  <c r="AC68" i="1" s="1"/>
  <c r="AB11" i="1"/>
  <c r="AB68" i="1" s="1"/>
  <c r="AA11" i="1"/>
  <c r="AA68" i="1" s="1"/>
  <c r="Z11" i="1"/>
  <c r="Z68" i="1" s="1"/>
  <c r="Y11" i="1"/>
  <c r="Y68" i="1" s="1"/>
  <c r="X11" i="1"/>
  <c r="X68" i="1" s="1"/>
  <c r="W11" i="1"/>
  <c r="W68" i="1" s="1"/>
  <c r="V11" i="1"/>
  <c r="V68" i="1" s="1"/>
  <c r="U11" i="1"/>
  <c r="U68" i="1" s="1"/>
  <c r="T11" i="1"/>
  <c r="T68" i="1" s="1"/>
  <c r="S11" i="1"/>
  <c r="S68" i="1" s="1"/>
  <c r="R11" i="1"/>
  <c r="R68" i="1" s="1"/>
  <c r="Q11" i="1"/>
  <c r="Q68" i="1" s="1"/>
  <c r="P11" i="1"/>
  <c r="P68" i="1" s="1"/>
  <c r="O11" i="1"/>
  <c r="O68" i="1" s="1"/>
  <c r="N11" i="1"/>
  <c r="N68" i="1" s="1"/>
  <c r="M11" i="1"/>
  <c r="M68" i="1" s="1"/>
  <c r="L11" i="1"/>
  <c r="L68" i="1" s="1"/>
  <c r="K11" i="1"/>
  <c r="K68" i="1" s="1"/>
  <c r="J11" i="1"/>
  <c r="J68" i="1" s="1"/>
  <c r="I11" i="1"/>
  <c r="I68" i="1" s="1"/>
  <c r="H11" i="1"/>
  <c r="H68" i="1" s="1"/>
  <c r="G11" i="1"/>
  <c r="G68" i="1" s="1"/>
  <c r="F11" i="1"/>
  <c r="F68" i="1" s="1"/>
  <c r="D11" i="1"/>
  <c r="D10" i="1"/>
  <c r="C10" i="1"/>
  <c r="D9" i="1"/>
  <c r="D68" i="1" s="1"/>
  <c r="C9" i="1"/>
  <c r="E10" i="1" l="1"/>
  <c r="E13" i="1"/>
  <c r="E15" i="1"/>
  <c r="E28" i="1"/>
  <c r="E29" i="1"/>
  <c r="E30" i="1"/>
  <c r="E31" i="1"/>
  <c r="E32" i="1"/>
  <c r="E33" i="1"/>
  <c r="E35" i="1"/>
  <c r="E36" i="1"/>
  <c r="E41" i="1"/>
  <c r="E42" i="1"/>
  <c r="E43" i="1"/>
  <c r="E46" i="1"/>
  <c r="E47" i="1"/>
  <c r="E48" i="1"/>
  <c r="E49" i="1"/>
  <c r="E50" i="1"/>
  <c r="E51" i="1"/>
  <c r="E52" i="1"/>
  <c r="E53" i="1"/>
  <c r="E54" i="1"/>
  <c r="E55" i="1"/>
  <c r="E56" i="1"/>
  <c r="E65" i="1"/>
  <c r="E27" i="1"/>
  <c r="E9" i="1"/>
  <c r="C11" i="1"/>
  <c r="E11" i="1" s="1"/>
  <c r="C68" i="1" l="1"/>
</calcChain>
</file>

<file path=xl/sharedStrings.xml><?xml version="1.0" encoding="utf-8"?>
<sst xmlns="http://schemas.openxmlformats.org/spreadsheetml/2006/main" count="165" uniqueCount="129">
  <si>
    <t>Додаток</t>
  </si>
  <si>
    <t>КЗ "ПАВЛОГРАДСЬКА МІСЬКА ЛІКАРНЯ №1"ДОР"</t>
  </si>
  <si>
    <t xml:space="preserve"> розпорядник бюджетних коштів</t>
  </si>
  <si>
    <t>тис.грн.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</si>
  <si>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</si>
  <si>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</si>
  <si>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</si>
  <si>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</si>
  <si>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</si>
  <si>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</si>
  <si>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</si>
  <si>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</si>
  <si>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</si>
  <si>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</si>
  <si>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</si>
  <si>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</si>
  <si>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</si>
  <si>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</si>
  <si>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</si>
  <si>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</si>
  <si>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</si>
  <si>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</si>
  <si>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</si>
  <si>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</si>
  <si>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t>Предмети, матеріали, обладнання-всього</t>
  </si>
  <si>
    <t>з них</t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</si>
  <si>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</si>
  <si>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</si>
  <si>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</si>
  <si>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</si>
  <si>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</si>
  <si>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</si>
  <si>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</si>
  <si>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</si>
  <si>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</si>
  <si>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</si>
  <si>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</si>
  <si>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бланки</t>
  </si>
  <si>
    <t>3.7</t>
  </si>
  <si>
    <t>обладнання</t>
  </si>
  <si>
    <t>3.8</t>
  </si>
  <si>
    <t>предплата періодичних видань</t>
  </si>
  <si>
    <t>металопластикові двері, вікна</t>
  </si>
  <si>
    <t>4</t>
  </si>
  <si>
    <t>Медикаменти та перев'язувальні матеріали-всього</t>
  </si>
  <si>
    <t>4.1</t>
  </si>
  <si>
    <t>наркотичні засоби</t>
  </si>
  <si>
    <t>4.2</t>
  </si>
  <si>
    <t xml:space="preserve">медикаменти </t>
  </si>
  <si>
    <t>4.3</t>
  </si>
  <si>
    <t>товари медичного призначення (хімреактиви)</t>
  </si>
  <si>
    <t>4.4</t>
  </si>
  <si>
    <t>дезрозчини</t>
  </si>
  <si>
    <t>рукавички медичні</t>
  </si>
  <si>
    <t>рентгенплівка, флюороплівка</t>
  </si>
  <si>
    <t>спирт</t>
  </si>
  <si>
    <t>системи ПР, вата, марля, бинт</t>
  </si>
  <si>
    <t>5</t>
  </si>
  <si>
    <t>Продукти харчування</t>
  </si>
  <si>
    <t>6</t>
  </si>
  <si>
    <t>Оплата послуг (крім комунальних)-всього</t>
  </si>
  <si>
    <t>з них (розшифрувати)</t>
  </si>
  <si>
    <t>6.1</t>
  </si>
  <si>
    <t>ремонт та обслуговування медичного обладнання</t>
  </si>
  <si>
    <t>6.2</t>
  </si>
  <si>
    <t>послуги з перевезення рентгенологічного відділення</t>
  </si>
  <si>
    <t>6.3</t>
  </si>
  <si>
    <t>обслуговування ліфтів</t>
  </si>
  <si>
    <t>6.4</t>
  </si>
  <si>
    <t>ремонт та обслуговування комп'ютерної техніки</t>
  </si>
  <si>
    <t>6.5</t>
  </si>
  <si>
    <t xml:space="preserve"> ремонт приміщень</t>
  </si>
  <si>
    <t>6.6</t>
  </si>
  <si>
    <t>оплата послуг зв'язку, вивіз ТПВ</t>
  </si>
  <si>
    <t>6.7</t>
  </si>
  <si>
    <t>послуги з технічного обслуговування безпеки котлів</t>
  </si>
  <si>
    <t>6.8</t>
  </si>
  <si>
    <t>послуги з технічного обслуговування газового обладнання</t>
  </si>
  <si>
    <t>6.9</t>
  </si>
  <si>
    <t>послуги з супроводу програмного забезпечення</t>
  </si>
  <si>
    <t>6.10</t>
  </si>
  <si>
    <t>відшкодування  ЦПМСД за сміття</t>
  </si>
  <si>
    <t>6.11</t>
  </si>
  <si>
    <t>охорона об'єкту</t>
  </si>
  <si>
    <t>6.12</t>
  </si>
  <si>
    <t>оплата послуг з заправки картриджів</t>
  </si>
  <si>
    <t>6.13</t>
  </si>
  <si>
    <t>послуги з утримання будинку</t>
  </si>
  <si>
    <t>6.14</t>
  </si>
  <si>
    <t xml:space="preserve">послуги з метрологічної повірки </t>
  </si>
  <si>
    <t>6.15</t>
  </si>
  <si>
    <t>послуги з технічної діагностики ліфта</t>
  </si>
  <si>
    <t>6.16</t>
  </si>
  <si>
    <t xml:space="preserve">за оренду приміщення </t>
  </si>
  <si>
    <t>6.17</t>
  </si>
  <si>
    <t>послуги з інформаціонного мониторингу ФІАТУ</t>
  </si>
  <si>
    <t>6.18</t>
  </si>
  <si>
    <t>оплата послуг за дератізацію</t>
  </si>
  <si>
    <t>6.19</t>
  </si>
  <si>
    <t>оплата послуг за розроблення норми витрат палива</t>
  </si>
  <si>
    <t>оплата послуг за проектні роботи рентгенологічного відділення</t>
  </si>
  <si>
    <t>7</t>
  </si>
  <si>
    <t>Видатки на відрядження</t>
  </si>
  <si>
    <t>8</t>
  </si>
  <si>
    <t>8.1</t>
  </si>
  <si>
    <t>теплопостачання</t>
  </si>
  <si>
    <t>8.2</t>
  </si>
  <si>
    <t>водопостачання</t>
  </si>
  <si>
    <t>8.3</t>
  </si>
  <si>
    <t>електроенергія</t>
  </si>
  <si>
    <t>8.4</t>
  </si>
  <si>
    <t>газопостачання</t>
  </si>
  <si>
    <t>9</t>
  </si>
  <si>
    <t>Окремі заходи по реалізації державних(регіональних) програм, не віднесені до заходів розвитку</t>
  </si>
  <si>
    <t>10</t>
  </si>
  <si>
    <t xml:space="preserve">Соціальне забезпечення </t>
  </si>
  <si>
    <t>10.1</t>
  </si>
  <si>
    <t>виплата пенсій і допомоги</t>
  </si>
  <si>
    <t>10.2</t>
  </si>
  <si>
    <t>інші виплати населенню</t>
  </si>
  <si>
    <t>11</t>
  </si>
  <si>
    <t>Інші поточні видатки</t>
  </si>
  <si>
    <t>ВСЬОГО</t>
  </si>
  <si>
    <t>Головний лікар</t>
  </si>
  <si>
    <t>С.С. Олійник</t>
  </si>
  <si>
    <t>підпис</t>
  </si>
  <si>
    <t>9 місяців 2017 року</t>
  </si>
  <si>
    <r>
      <t xml:space="preserve">Звіт про використання бюджетних коштів за 2017 рік (1 квартал,півріччя, </t>
    </r>
    <r>
      <rPr>
        <b/>
        <u/>
        <sz val="16"/>
        <rFont val="Times New Roman"/>
        <family val="1"/>
        <charset val="204"/>
      </rPr>
      <t>9 місяців</t>
    </r>
    <r>
      <rPr>
        <b/>
        <sz val="16"/>
        <rFont val="Times New Roman"/>
        <family val="1"/>
        <charset val="204"/>
      </rPr>
      <t>, рік)</t>
    </r>
  </si>
  <si>
    <t>Оплата  комунальних послуг-всього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</si>
</sst>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0000"/>
    <numFmt numFmtId="165" formatCode="#,##0.00000"/>
    <numFmt numFmtId="166" formatCode="#,##0.0"/>
    <numFmt numFmtId="167" formatCode="#,##0.000"/>
    <numFmt numFmtId="168" formatCode="#,##0.0000"/>
    <numFmt numFmtId="169" formatCode="0.00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Bookman Old Style"/>
      <family val="1"/>
      <charset val="204"/>
    </font>
    <font>
      <b/>
      <sz val="11"/>
      <name val="Times New Roman"/>
      <family val="1"/>
      <charset val="204"/>
    </font>
    <font>
      <sz val="12"/>
      <name val="Bookman Old Style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Bookman Old Style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7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7" fontId="11" fillId="3" borderId="1" xfId="0" applyNumberFormat="1" applyFont="1" applyFill="1" applyBorder="1" applyAlignment="1">
      <alignment horizontal="center" vertical="center"/>
    </xf>
    <xf numFmtId="0" fontId="12" fillId="0" borderId="0" xfId="0" applyFont="1"/>
    <xf numFmtId="4" fontId="7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7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168" fontId="2" fillId="0" borderId="0" xfId="0" applyNumberFormat="1" applyFont="1"/>
    <xf numFmtId="0" fontId="2" fillId="0" borderId="4" xfId="0" applyFont="1" applyBorder="1"/>
    <xf numFmtId="166" fontId="12" fillId="0" borderId="0" xfId="0" applyNumberFormat="1" applyFont="1"/>
    <xf numFmtId="164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9" fontId="7" fillId="2" borderId="1" xfId="0" applyNumberFormat="1" applyFont="1" applyFill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 vertical="center"/>
    </xf>
    <xf numFmtId="169" fontId="11" fillId="3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151"/>
  <sheetViews>
    <sheetView tabSelected="1" zoomScale="68" zoomScaleNormal="68" workbookViewId="0">
      <selection activeCell="E61" sqref="E61"/>
    </sheetView>
  </sheetViews>
  <sheetFormatPr defaultRowHeight="12.75" x14ac:dyDescent="0.2"/>
  <cols>
    <col min="1" max="1" width="8.85546875" customWidth="1"/>
    <col min="2" max="2" width="26.42578125" customWidth="1"/>
    <col min="3" max="3" width="17" customWidth="1"/>
    <col min="4" max="4" width="17.28515625" customWidth="1"/>
    <col min="5" max="5" width="14.85546875" customWidth="1"/>
    <col min="6" max="6" width="14.28515625" customWidth="1"/>
    <col min="7" max="7" width="13.42578125" customWidth="1"/>
    <col min="8" max="8" width="13.140625" customWidth="1"/>
    <col min="9" max="9" width="13.42578125" customWidth="1"/>
    <col min="10" max="10" width="13.5703125" customWidth="1"/>
    <col min="11" max="11" width="12.5703125" customWidth="1"/>
    <col min="12" max="12" width="13.140625" customWidth="1"/>
    <col min="13" max="13" width="12.5703125" customWidth="1"/>
    <col min="14" max="14" width="13" customWidth="1"/>
    <col min="15" max="15" width="12.85546875" customWidth="1"/>
    <col min="16" max="23" width="14.140625" customWidth="1"/>
    <col min="24" max="29" width="14.140625" hidden="1" customWidth="1"/>
  </cols>
  <sheetData>
    <row r="1" spans="1:29" ht="18.75" x14ac:dyDescent="0.3">
      <c r="A1" s="1"/>
      <c r="B1" s="1"/>
      <c r="C1" s="1"/>
      <c r="D1" s="1"/>
      <c r="E1" s="1"/>
      <c r="F1" s="1"/>
      <c r="G1" s="1"/>
      <c r="H1" s="1"/>
      <c r="I1" s="1"/>
      <c r="U1" s="2"/>
      <c r="V1" s="2"/>
      <c r="W1" s="3"/>
      <c r="AB1" s="34" t="s">
        <v>0</v>
      </c>
      <c r="AC1" s="34"/>
    </row>
    <row r="2" spans="1:29" ht="20.25" x14ac:dyDescent="0.2">
      <c r="A2" s="35" t="s">
        <v>127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18.75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29" ht="15.75" x14ac:dyDescent="0.2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</row>
    <row r="5" spans="1:29" ht="1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Q5" s="4"/>
      <c r="S5" s="4"/>
      <c r="U5" s="4"/>
      <c r="W5" s="4"/>
      <c r="Y5" s="4"/>
      <c r="AA5" s="4"/>
      <c r="AC5" s="4" t="s">
        <v>3</v>
      </c>
    </row>
    <row r="6" spans="1:29" ht="15.75" x14ac:dyDescent="0.2">
      <c r="A6" s="38" t="s">
        <v>4</v>
      </c>
      <c r="B6" s="38" t="s">
        <v>5</v>
      </c>
      <c r="C6" s="38" t="s">
        <v>126</v>
      </c>
      <c r="D6" s="38"/>
      <c r="E6" s="38"/>
      <c r="F6" s="39" t="s">
        <v>6</v>
      </c>
      <c r="G6" s="40"/>
      <c r="H6" s="40"/>
      <c r="I6" s="40"/>
      <c r="J6" s="40"/>
      <c r="K6" s="40"/>
      <c r="L6" s="39" t="s">
        <v>6</v>
      </c>
      <c r="M6" s="40"/>
      <c r="N6" s="40"/>
      <c r="O6" s="40"/>
      <c r="P6" s="40"/>
      <c r="Q6" s="40"/>
      <c r="R6" s="39" t="s">
        <v>6</v>
      </c>
      <c r="S6" s="40"/>
      <c r="T6" s="40"/>
      <c r="U6" s="40"/>
      <c r="V6" s="40"/>
      <c r="W6" s="40"/>
      <c r="X6" s="39" t="s">
        <v>6</v>
      </c>
      <c r="Y6" s="40"/>
      <c r="Z6" s="40"/>
      <c r="AA6" s="40"/>
      <c r="AB6" s="40"/>
      <c r="AC6" s="40"/>
    </row>
    <row r="7" spans="1:29" ht="15.75" x14ac:dyDescent="0.2">
      <c r="A7" s="38"/>
      <c r="B7" s="38"/>
      <c r="C7" s="38"/>
      <c r="D7" s="38"/>
      <c r="E7" s="38"/>
      <c r="F7" s="38" t="s">
        <v>7</v>
      </c>
      <c r="G7" s="38"/>
      <c r="H7" s="38" t="s">
        <v>8</v>
      </c>
      <c r="I7" s="38"/>
      <c r="J7" s="38" t="s">
        <v>9</v>
      </c>
      <c r="K7" s="38"/>
      <c r="L7" s="38" t="s">
        <v>10</v>
      </c>
      <c r="M7" s="38"/>
      <c r="N7" s="38" t="s">
        <v>11</v>
      </c>
      <c r="O7" s="38"/>
      <c r="P7" s="38" t="s">
        <v>12</v>
      </c>
      <c r="Q7" s="38"/>
      <c r="R7" s="38" t="s">
        <v>13</v>
      </c>
      <c r="S7" s="38"/>
      <c r="T7" s="38" t="s">
        <v>14</v>
      </c>
      <c r="U7" s="38"/>
      <c r="V7" s="38" t="s">
        <v>15</v>
      </c>
      <c r="W7" s="38"/>
      <c r="X7" s="38" t="s">
        <v>16</v>
      </c>
      <c r="Y7" s="38"/>
      <c r="Z7" s="38" t="s">
        <v>17</v>
      </c>
      <c r="AA7" s="38"/>
      <c r="AB7" s="38" t="s">
        <v>18</v>
      </c>
      <c r="AC7" s="38"/>
    </row>
    <row r="8" spans="1:29" ht="15.75" x14ac:dyDescent="0.2">
      <c r="A8" s="38"/>
      <c r="B8" s="38"/>
      <c r="C8" s="5" t="s">
        <v>19</v>
      </c>
      <c r="D8" s="5" t="s">
        <v>20</v>
      </c>
      <c r="E8" s="5" t="s">
        <v>21</v>
      </c>
      <c r="F8" s="5" t="s">
        <v>19</v>
      </c>
      <c r="G8" s="5" t="s">
        <v>20</v>
      </c>
      <c r="H8" s="5" t="s">
        <v>19</v>
      </c>
      <c r="I8" s="5" t="s">
        <v>20</v>
      </c>
      <c r="J8" s="5" t="s">
        <v>19</v>
      </c>
      <c r="K8" s="5" t="s">
        <v>20</v>
      </c>
      <c r="L8" s="5" t="s">
        <v>19</v>
      </c>
      <c r="M8" s="5" t="s">
        <v>20</v>
      </c>
      <c r="N8" s="5" t="s">
        <v>19</v>
      </c>
      <c r="O8" s="5" t="s">
        <v>20</v>
      </c>
      <c r="P8" s="5" t="s">
        <v>19</v>
      </c>
      <c r="Q8" s="5" t="s">
        <v>20</v>
      </c>
      <c r="R8" s="5" t="s">
        <v>19</v>
      </c>
      <c r="S8" s="5" t="s">
        <v>20</v>
      </c>
      <c r="T8" s="5" t="s">
        <v>19</v>
      </c>
      <c r="U8" s="5" t="s">
        <v>20</v>
      </c>
      <c r="V8" s="5" t="s">
        <v>19</v>
      </c>
      <c r="W8" s="5" t="s">
        <v>20</v>
      </c>
      <c r="X8" s="5" t="s">
        <v>19</v>
      </c>
      <c r="Y8" s="5" t="s">
        <v>20</v>
      </c>
      <c r="Z8" s="5" t="s">
        <v>19</v>
      </c>
      <c r="AA8" s="5" t="s">
        <v>20</v>
      </c>
      <c r="AB8" s="5" t="s">
        <v>19</v>
      </c>
      <c r="AC8" s="5" t="s">
        <v>20</v>
      </c>
    </row>
    <row r="9" spans="1:29" ht="15.75" x14ac:dyDescent="0.2">
      <c r="A9" s="6">
        <v>1</v>
      </c>
      <c r="B9" s="7" t="s">
        <v>22</v>
      </c>
      <c r="C9" s="41">
        <f t="shared" ref="C9:D11" si="0">F9+H9+J9+L9+N9+P9+R9+T9+V9+X9+Z9+AB9</f>
        <v>18122.927</v>
      </c>
      <c r="D9" s="41">
        <f t="shared" si="0"/>
        <v>18094.929</v>
      </c>
      <c r="E9" s="8">
        <f>D9/C9*100</f>
        <v>99.845510606537232</v>
      </c>
      <c r="F9" s="8">
        <v>1891.2170000000001</v>
      </c>
      <c r="G9" s="8">
        <v>1891.2170000000001</v>
      </c>
      <c r="H9" s="8">
        <v>1894.36</v>
      </c>
      <c r="I9" s="8">
        <v>1891.2170000000001</v>
      </c>
      <c r="J9" s="8">
        <v>1891.2170000000001</v>
      </c>
      <c r="K9" s="8">
        <v>1891.2170000000001</v>
      </c>
      <c r="L9" s="8">
        <v>2071.2429999999999</v>
      </c>
      <c r="M9" s="8">
        <v>2074.386</v>
      </c>
      <c r="N9" s="8">
        <v>2103.0509999999999</v>
      </c>
      <c r="O9" s="8">
        <v>2101.2429999999999</v>
      </c>
      <c r="P9" s="8">
        <v>2115.0329999999999</v>
      </c>
      <c r="Q9" s="8">
        <v>2103.9409999999998</v>
      </c>
      <c r="R9" s="8">
        <v>2235.3310000000001</v>
      </c>
      <c r="S9" s="8">
        <v>2224.2220000000002</v>
      </c>
      <c r="T9" s="8">
        <v>1967.241</v>
      </c>
      <c r="U9" s="8">
        <v>1966.2439999999999</v>
      </c>
      <c r="V9" s="8">
        <v>1954.2339999999999</v>
      </c>
      <c r="W9" s="8">
        <v>1951.242</v>
      </c>
      <c r="X9" s="8"/>
      <c r="Y9" s="8"/>
      <c r="Z9" s="8"/>
      <c r="AA9" s="8"/>
      <c r="AB9" s="8"/>
      <c r="AC9" s="8"/>
    </row>
    <row r="10" spans="1:29" ht="28.5" x14ac:dyDescent="0.2">
      <c r="A10" s="6">
        <v>2</v>
      </c>
      <c r="B10" s="7" t="s">
        <v>23</v>
      </c>
      <c r="C10" s="41">
        <f t="shared" si="0"/>
        <v>3992.3019999999997</v>
      </c>
      <c r="D10" s="41">
        <f t="shared" si="0"/>
        <v>3983.0512899999999</v>
      </c>
      <c r="E10" s="8">
        <f>D10/C10*100</f>
        <v>99.7682863170171</v>
      </c>
      <c r="F10" s="8">
        <v>416.06799999999998</v>
      </c>
      <c r="G10" s="8">
        <v>416.06799999999998</v>
      </c>
      <c r="H10" s="8">
        <v>418.06799999999998</v>
      </c>
      <c r="I10" s="8">
        <v>416.06799999999998</v>
      </c>
      <c r="J10" s="8">
        <v>421.06799999999998</v>
      </c>
      <c r="K10" s="8">
        <v>421.06799999999998</v>
      </c>
      <c r="L10" s="8">
        <v>457.04599999999999</v>
      </c>
      <c r="M10" s="8">
        <v>459.04599999999999</v>
      </c>
      <c r="N10" s="8">
        <v>465.96899999999999</v>
      </c>
      <c r="O10" s="8">
        <v>465.95699999999999</v>
      </c>
      <c r="P10" s="8">
        <v>466.55700000000002</v>
      </c>
      <c r="Q10" s="8">
        <v>463.75767999999999</v>
      </c>
      <c r="R10" s="8">
        <v>487.54</v>
      </c>
      <c r="S10" s="8">
        <v>485.12042000000002</v>
      </c>
      <c r="T10" s="8">
        <v>426.38099999999997</v>
      </c>
      <c r="U10" s="8">
        <v>426.21785999999997</v>
      </c>
      <c r="V10" s="8">
        <v>433.60500000000002</v>
      </c>
      <c r="W10" s="8">
        <v>429.74833000000001</v>
      </c>
      <c r="X10" s="8"/>
      <c r="Y10" s="8"/>
      <c r="Z10" s="8"/>
      <c r="AA10" s="8"/>
      <c r="AB10" s="8"/>
      <c r="AC10" s="8"/>
    </row>
    <row r="11" spans="1:29" ht="28.5" x14ac:dyDescent="0.2">
      <c r="A11" s="6">
        <v>3</v>
      </c>
      <c r="B11" s="7" t="s">
        <v>24</v>
      </c>
      <c r="C11" s="41">
        <f t="shared" si="0"/>
        <v>377.58299999999997</v>
      </c>
      <c r="D11" s="41">
        <f t="shared" si="0"/>
        <v>369.70179000000002</v>
      </c>
      <c r="E11" s="8">
        <f>D11/C11*100</f>
        <v>97.912721176536039</v>
      </c>
      <c r="F11" s="8">
        <f>SUM(F13:F20)</f>
        <v>27.5</v>
      </c>
      <c r="G11" s="8">
        <f>SUM(G13:G20)</f>
        <v>1.6349499999999999</v>
      </c>
      <c r="H11" s="8">
        <f>SUM(H13:H20)</f>
        <v>27.454000000000001</v>
      </c>
      <c r="I11" s="8">
        <f>SUM(I13:I20)</f>
        <v>20.321529999999999</v>
      </c>
      <c r="J11" s="8">
        <f>SUM(J13:J21)</f>
        <v>37.535699999999999</v>
      </c>
      <c r="K11" s="8">
        <f>SUM(K13:K21)</f>
        <v>32.210180000000001</v>
      </c>
      <c r="L11" s="8">
        <f>SUM(L13:L20)</f>
        <v>137.49329999999998</v>
      </c>
      <c r="M11" s="8">
        <f>SUM(M13:M20)</f>
        <v>5.3733000000000004</v>
      </c>
      <c r="N11" s="8">
        <f>SUM(N13:N20)</f>
        <v>37.5</v>
      </c>
      <c r="O11" s="8">
        <f>SUM(O13:O20)</f>
        <v>41.120690000000003</v>
      </c>
      <c r="P11" s="8">
        <f t="shared" ref="P11:AC11" si="1">SUM(P13:P21)</f>
        <v>27.6</v>
      </c>
      <c r="Q11" s="8">
        <f t="shared" si="1"/>
        <v>71.277800000000013</v>
      </c>
      <c r="R11" s="8">
        <f t="shared" si="1"/>
        <v>27.5</v>
      </c>
      <c r="S11" s="8">
        <f t="shared" si="1"/>
        <v>121.55909</v>
      </c>
      <c r="T11" s="8">
        <f t="shared" si="1"/>
        <v>27.500000000000004</v>
      </c>
      <c r="U11" s="8">
        <f t="shared" si="1"/>
        <v>25.597440000000002</v>
      </c>
      <c r="V11" s="8">
        <f t="shared" si="1"/>
        <v>27.5</v>
      </c>
      <c r="W11" s="8">
        <f t="shared" si="1"/>
        <v>50.606809999999996</v>
      </c>
      <c r="X11" s="8">
        <f t="shared" si="1"/>
        <v>0</v>
      </c>
      <c r="Y11" s="8">
        <f t="shared" si="1"/>
        <v>0</v>
      </c>
      <c r="Z11" s="8">
        <f t="shared" si="1"/>
        <v>0</v>
      </c>
      <c r="AA11" s="8">
        <f t="shared" si="1"/>
        <v>0</v>
      </c>
      <c r="AB11" s="8">
        <f t="shared" si="1"/>
        <v>0</v>
      </c>
      <c r="AC11" s="8">
        <f t="shared" si="1"/>
        <v>0</v>
      </c>
    </row>
    <row r="12" spans="1:29" ht="15.75" x14ac:dyDescent="0.2">
      <c r="A12" s="9"/>
      <c r="B12" s="10" t="s">
        <v>25</v>
      </c>
      <c r="C12" s="42"/>
      <c r="D12" s="42"/>
      <c r="E12" s="13"/>
      <c r="F12" s="13"/>
      <c r="G12" s="13"/>
      <c r="H12" s="13"/>
      <c r="I12" s="14"/>
      <c r="J12" s="13"/>
      <c r="K12" s="13"/>
      <c r="L12" s="13"/>
      <c r="M12" s="13"/>
      <c r="N12" s="13"/>
      <c r="O12" s="14"/>
      <c r="P12" s="13"/>
      <c r="Q12" s="14"/>
      <c r="R12" s="13"/>
      <c r="S12" s="14"/>
      <c r="T12" s="15"/>
      <c r="U12" s="14"/>
      <c r="V12" s="13"/>
      <c r="W12" s="14"/>
      <c r="X12" s="13"/>
      <c r="Y12" s="14"/>
      <c r="Z12" s="13"/>
      <c r="AA12" s="14"/>
      <c r="AB12" s="13"/>
      <c r="AC12" s="14"/>
    </row>
    <row r="13" spans="1:29" ht="31.5" x14ac:dyDescent="0.2">
      <c r="A13" s="16" t="s">
        <v>26</v>
      </c>
      <c r="B13" s="10" t="s">
        <v>27</v>
      </c>
      <c r="C13" s="43">
        <f>F13+H13+J13+L13+N13+P13+R13+T13+V13+X13+Z13+AB13</f>
        <v>149.25900000000001</v>
      </c>
      <c r="D13" s="43">
        <f>G13+I13+K13+M13+O13+Q13+S13+U13+W13+Y13+AA13+AC13</f>
        <v>145.08124999999998</v>
      </c>
      <c r="E13" s="17">
        <f>D13/C13*100</f>
        <v>97.201006304477431</v>
      </c>
      <c r="F13" s="17">
        <v>24.9</v>
      </c>
      <c r="G13" s="17"/>
      <c r="H13" s="17">
        <f>16.364+7.2</f>
        <v>23.564</v>
      </c>
      <c r="I13" s="17">
        <v>16.43075</v>
      </c>
      <c r="J13" s="17">
        <v>12.4</v>
      </c>
      <c r="K13" s="17">
        <v>17.28</v>
      </c>
      <c r="L13" s="17">
        <v>16.2</v>
      </c>
      <c r="M13" s="17">
        <v>4.08</v>
      </c>
      <c r="N13" s="17">
        <v>20.3</v>
      </c>
      <c r="O13" s="17">
        <v>17.295000000000002</v>
      </c>
      <c r="P13" s="17">
        <v>17.3</v>
      </c>
      <c r="Q13" s="17">
        <f>6.12+13.41+33.525+6.12</f>
        <v>59.174999999999997</v>
      </c>
      <c r="R13" s="17">
        <v>17.3</v>
      </c>
      <c r="S13" s="17">
        <v>0</v>
      </c>
      <c r="T13" s="17">
        <v>17.295000000000002</v>
      </c>
      <c r="U13" s="17">
        <v>17.295000000000002</v>
      </c>
      <c r="V13" s="17"/>
      <c r="W13" s="17">
        <v>13.525499999999999</v>
      </c>
      <c r="X13" s="17"/>
      <c r="Y13" s="17"/>
      <c r="Z13" s="17"/>
      <c r="AA13" s="17"/>
      <c r="AB13" s="17"/>
      <c r="AC13" s="17"/>
    </row>
    <row r="14" spans="1:29" ht="15.75" x14ac:dyDescent="0.2">
      <c r="A14" s="16" t="s">
        <v>28</v>
      </c>
      <c r="B14" s="10" t="s">
        <v>29</v>
      </c>
      <c r="C14" s="43">
        <f t="shared" ref="C14:D22" si="2">F14+H14+J14+L14+N14+P14+R14+T14+V14+X14+Z14+AB14</f>
        <v>11.905000000000001</v>
      </c>
      <c r="D14" s="43">
        <f t="shared" si="2"/>
        <v>11.558</v>
      </c>
      <c r="E14" s="17">
        <f>D14/C14*100</f>
        <v>97.085258294834091</v>
      </c>
      <c r="F14" s="17"/>
      <c r="G14" s="17"/>
      <c r="H14" s="17"/>
      <c r="I14" s="17"/>
      <c r="J14" s="17"/>
      <c r="K14" s="17"/>
      <c r="L14" s="17">
        <v>0</v>
      </c>
      <c r="M14" s="17"/>
      <c r="N14" s="17"/>
      <c r="O14" s="17"/>
      <c r="P14" s="17">
        <v>5</v>
      </c>
      <c r="Q14" s="17">
        <v>4.9980000000000002</v>
      </c>
      <c r="R14" s="17"/>
      <c r="S14" s="17">
        <v>1.56</v>
      </c>
      <c r="T14" s="17">
        <v>1.905</v>
      </c>
      <c r="U14" s="17"/>
      <c r="V14" s="17">
        <v>5</v>
      </c>
      <c r="W14" s="17">
        <v>5</v>
      </c>
      <c r="X14" s="17"/>
      <c r="Y14" s="17"/>
      <c r="Z14" s="17"/>
      <c r="AA14" s="17"/>
      <c r="AB14" s="17"/>
      <c r="AC14" s="17"/>
    </row>
    <row r="15" spans="1:29" ht="15.75" x14ac:dyDescent="0.2">
      <c r="A15" s="16" t="s">
        <v>30</v>
      </c>
      <c r="B15" s="10" t="s">
        <v>31</v>
      </c>
      <c r="C15" s="43">
        <f t="shared" si="2"/>
        <v>120</v>
      </c>
      <c r="D15" s="43">
        <f t="shared" si="2"/>
        <v>119.99909</v>
      </c>
      <c r="E15" s="17">
        <f t="shared" ref="E15:E21" si="3">D15/C15*100</f>
        <v>99.999241666666663</v>
      </c>
      <c r="F15" s="17"/>
      <c r="G15" s="17"/>
      <c r="H15" s="17"/>
      <c r="I15" s="17"/>
      <c r="J15" s="17"/>
      <c r="K15" s="17"/>
      <c r="L15" s="17">
        <v>120</v>
      </c>
      <c r="M15" s="17"/>
      <c r="N15" s="17"/>
      <c r="O15" s="17"/>
      <c r="P15" s="17"/>
      <c r="Q15" s="17"/>
      <c r="R15" s="17"/>
      <c r="S15" s="17">
        <v>119.99909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15.75" x14ac:dyDescent="0.2">
      <c r="A16" s="16" t="s">
        <v>32</v>
      </c>
      <c r="B16" s="10" t="s">
        <v>33</v>
      </c>
      <c r="C16" s="43">
        <f t="shared" si="2"/>
        <v>45.414550000000006</v>
      </c>
      <c r="D16" s="43">
        <f t="shared" si="2"/>
        <v>43.843519999999998</v>
      </c>
      <c r="E16" s="17">
        <f t="shared" si="3"/>
        <v>96.540690153265842</v>
      </c>
      <c r="F16" s="17"/>
      <c r="G16" s="17"/>
      <c r="H16" s="17"/>
      <c r="I16" s="17"/>
      <c r="J16" s="17">
        <f>4.30485+0.0097</f>
        <v>4.3145499999999997</v>
      </c>
      <c r="K16" s="17">
        <v>6.3464</v>
      </c>
      <c r="L16" s="17">
        <v>0</v>
      </c>
      <c r="M16" s="17"/>
      <c r="N16" s="17">
        <v>17.2</v>
      </c>
      <c r="O16" s="17">
        <v>12.63349</v>
      </c>
      <c r="P16" s="17">
        <v>4.3</v>
      </c>
      <c r="Q16" s="17">
        <f>3.9231+1.4264</f>
        <v>5.3494999999999999</v>
      </c>
      <c r="R16" s="17"/>
      <c r="S16" s="17"/>
      <c r="T16" s="17">
        <v>5.3</v>
      </c>
      <c r="U16" s="17">
        <v>5.3034400000000002</v>
      </c>
      <c r="V16" s="17">
        <v>14.3</v>
      </c>
      <c r="W16" s="18">
        <f>12.6631+1.54759</f>
        <v>14.21069</v>
      </c>
      <c r="X16" s="17"/>
      <c r="Y16" s="17"/>
      <c r="Z16" s="17"/>
      <c r="AA16" s="17"/>
      <c r="AB16" s="17"/>
      <c r="AC16" s="17"/>
    </row>
    <row r="17" spans="1:29" ht="31.5" x14ac:dyDescent="0.2">
      <c r="A17" s="16" t="s">
        <v>34</v>
      </c>
      <c r="B17" s="10" t="s">
        <v>35</v>
      </c>
      <c r="C17" s="43">
        <f t="shared" si="2"/>
        <v>12.921150000000001</v>
      </c>
      <c r="D17" s="43">
        <f t="shared" si="2"/>
        <v>12.230180000000001</v>
      </c>
      <c r="E17" s="17">
        <f t="shared" si="3"/>
        <v>94.652410969611836</v>
      </c>
      <c r="F17" s="17"/>
      <c r="G17" s="17"/>
      <c r="H17" s="17"/>
      <c r="I17" s="17"/>
      <c r="J17" s="17">
        <v>7.9211499999999999</v>
      </c>
      <c r="K17" s="17">
        <v>5.2216800000000001</v>
      </c>
      <c r="L17" s="17">
        <v>0</v>
      </c>
      <c r="M17" s="17"/>
      <c r="N17" s="17"/>
      <c r="O17" s="17">
        <v>1.97</v>
      </c>
      <c r="P17" s="17"/>
      <c r="Q17" s="17"/>
      <c r="R17" s="17"/>
      <c r="S17" s="17"/>
      <c r="T17" s="17">
        <v>3</v>
      </c>
      <c r="U17" s="17">
        <v>2.9990000000000001</v>
      </c>
      <c r="V17" s="17">
        <v>2</v>
      </c>
      <c r="W17" s="17">
        <v>2.0394999999999999</v>
      </c>
      <c r="X17" s="17"/>
      <c r="Y17" s="17"/>
      <c r="Z17" s="17"/>
      <c r="AA17" s="17"/>
      <c r="AB17" s="17"/>
      <c r="AC17" s="17"/>
    </row>
    <row r="18" spans="1:29" ht="15.75" x14ac:dyDescent="0.2">
      <c r="A18" s="16" t="s">
        <v>36</v>
      </c>
      <c r="B18" s="10" t="s">
        <v>37</v>
      </c>
      <c r="C18" s="43">
        <f t="shared" si="2"/>
        <v>21.683299999999999</v>
      </c>
      <c r="D18" s="43">
        <f t="shared" si="2"/>
        <v>21.158630000000002</v>
      </c>
      <c r="E18" s="17">
        <f t="shared" si="3"/>
        <v>97.580303736054958</v>
      </c>
      <c r="F18" s="17">
        <v>2.6</v>
      </c>
      <c r="G18" s="17">
        <v>1.6349499999999999</v>
      </c>
      <c r="H18" s="17">
        <v>3.89</v>
      </c>
      <c r="I18" s="17">
        <v>3.8907799999999999</v>
      </c>
      <c r="J18" s="17">
        <v>12.9</v>
      </c>
      <c r="K18" s="17">
        <v>3.3620999999999999</v>
      </c>
      <c r="L18" s="17">
        <v>1.2932999999999999</v>
      </c>
      <c r="M18" s="17">
        <v>1.2932999999999999</v>
      </c>
      <c r="N18" s="17"/>
      <c r="O18" s="17">
        <f>4.222+5.0002</f>
        <v>9.2222000000000008</v>
      </c>
      <c r="P18" s="17">
        <v>1</v>
      </c>
      <c r="Q18" s="17">
        <f>0.51+1.2453</f>
        <v>1.7553000000000001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15.75" x14ac:dyDescent="0.2">
      <c r="A19" s="16" t="s">
        <v>38</v>
      </c>
      <c r="B19" s="10" t="s">
        <v>39</v>
      </c>
      <c r="C19" s="43">
        <f t="shared" si="2"/>
        <v>0</v>
      </c>
      <c r="D19" s="43">
        <f t="shared" si="2"/>
        <v>0</v>
      </c>
      <c r="E19" s="17" t="e">
        <f t="shared" si="3"/>
        <v>#DIV/0!</v>
      </c>
      <c r="F19" s="17"/>
      <c r="G19" s="17"/>
      <c r="H19" s="17"/>
      <c r="I19" s="17"/>
      <c r="J19" s="17"/>
      <c r="K19" s="17"/>
      <c r="L19" s="17">
        <v>0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31.5" x14ac:dyDescent="0.2">
      <c r="A20" s="16" t="s">
        <v>40</v>
      </c>
      <c r="B20" s="10" t="s">
        <v>41</v>
      </c>
      <c r="C20" s="43">
        <f t="shared" si="2"/>
        <v>16.399999999999999</v>
      </c>
      <c r="D20" s="43">
        <f t="shared" si="2"/>
        <v>15.83112</v>
      </c>
      <c r="E20" s="17">
        <f t="shared" si="3"/>
        <v>96.531219512195136</v>
      </c>
      <c r="F20" s="17"/>
      <c r="G20" s="17"/>
      <c r="H20" s="17"/>
      <c r="I20" s="17"/>
      <c r="J20" s="17"/>
      <c r="K20" s="17"/>
      <c r="L20" s="17">
        <v>0</v>
      </c>
      <c r="M20" s="17"/>
      <c r="N20" s="17"/>
      <c r="O20" s="17"/>
      <c r="P20" s="17"/>
      <c r="Q20" s="17"/>
      <c r="R20" s="17">
        <v>10.199999999999999</v>
      </c>
      <c r="S20" s="17"/>
      <c r="T20" s="17"/>
      <c r="U20" s="17"/>
      <c r="V20" s="17">
        <v>6.2</v>
      </c>
      <c r="W20" s="17">
        <v>15.83112</v>
      </c>
      <c r="X20" s="17"/>
      <c r="Y20" s="17"/>
      <c r="Z20" s="17"/>
      <c r="AA20" s="17"/>
      <c r="AB20" s="17"/>
      <c r="AC20" s="17"/>
    </row>
    <row r="21" spans="1:29" ht="31.5" x14ac:dyDescent="0.2">
      <c r="A21" s="16" t="s">
        <v>40</v>
      </c>
      <c r="B21" s="10" t="s">
        <v>42</v>
      </c>
      <c r="C21" s="43">
        <f t="shared" si="2"/>
        <v>0</v>
      </c>
      <c r="D21" s="43">
        <f t="shared" si="2"/>
        <v>0</v>
      </c>
      <c r="E21" s="17" t="e">
        <f t="shared" si="3"/>
        <v>#DIV/0!</v>
      </c>
      <c r="F21" s="17"/>
      <c r="G21" s="17"/>
      <c r="H21" s="17"/>
      <c r="I21" s="17"/>
      <c r="J21" s="17"/>
      <c r="K21" s="17"/>
      <c r="L21" s="17">
        <v>0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54" customHeight="1" x14ac:dyDescent="0.2">
      <c r="A22" s="19" t="s">
        <v>43</v>
      </c>
      <c r="B22" s="7" t="s">
        <v>44</v>
      </c>
      <c r="C22" s="41">
        <f t="shared" si="2"/>
        <v>842.59299999999996</v>
      </c>
      <c r="D22" s="41">
        <f t="shared" si="2"/>
        <v>759.49324000000001</v>
      </c>
      <c r="E22" s="8">
        <f>D22/C22*100</f>
        <v>90.137615669724298</v>
      </c>
      <c r="F22" s="8">
        <f t="shared" ref="F22:K22" si="4">SUM(F24:F31)</f>
        <v>82.95</v>
      </c>
      <c r="G22" s="8">
        <f t="shared" si="4"/>
        <v>0</v>
      </c>
      <c r="H22" s="8">
        <f t="shared" si="4"/>
        <v>86.3</v>
      </c>
      <c r="I22" s="8">
        <f t="shared" si="4"/>
        <v>43.701319999999996</v>
      </c>
      <c r="J22" s="8">
        <f t="shared" si="4"/>
        <v>98.018000000000001</v>
      </c>
      <c r="K22" s="8">
        <f t="shared" si="4"/>
        <v>205.25784999999999</v>
      </c>
      <c r="L22" s="8">
        <f>SUM(L24:L31)</f>
        <v>82.000000000000014</v>
      </c>
      <c r="M22" s="8">
        <f>SUM(M24:M31)</f>
        <v>96.992279999999994</v>
      </c>
      <c r="N22" s="8">
        <f>SUM(N24:N31)</f>
        <v>89.699999999999974</v>
      </c>
      <c r="O22" s="8">
        <f>SUM(O24:O31)</f>
        <v>82.013179999999991</v>
      </c>
      <c r="P22" s="8">
        <f>SUM(P24:P31)</f>
        <v>118.556</v>
      </c>
      <c r="Q22" s="8">
        <f>SUM(Q24:Q31)-0.00005</f>
        <v>92.994519999999994</v>
      </c>
      <c r="R22" s="8">
        <f>SUM(R24:R31)</f>
        <v>100.61</v>
      </c>
      <c r="S22" s="8">
        <f>SUM(S24:S31)-0.00005</f>
        <v>102.24235999999999</v>
      </c>
      <c r="T22" s="8">
        <f>SUM(T24:T31)</f>
        <v>114.563</v>
      </c>
      <c r="U22" s="8">
        <f>SUM(U24:U31)-0.00005</f>
        <v>74.100660000000005</v>
      </c>
      <c r="V22" s="8">
        <f>SUM(V24:V31)</f>
        <v>69.896000000000001</v>
      </c>
      <c r="W22" s="8">
        <f>SUM(W24:W31)-0.00005</f>
        <v>62.191220000000001</v>
      </c>
      <c r="X22" s="8">
        <f>SUM(X24:X31)</f>
        <v>0</v>
      </c>
      <c r="Y22" s="8">
        <f>SUM(Y24:Y31)-0.00005</f>
        <v>-5.0000000000000002E-5</v>
      </c>
      <c r="Z22" s="8">
        <f>SUM(Z24:Z31)</f>
        <v>0</v>
      </c>
      <c r="AA22" s="8">
        <f>SUM(AA24:AA31)-0.00005</f>
        <v>-5.0000000000000002E-5</v>
      </c>
      <c r="AB22" s="8">
        <f>SUM(AB24:AB31)</f>
        <v>0</v>
      </c>
      <c r="AC22" s="8">
        <f>SUM(AC24:AC31)-0.00005</f>
        <v>-5.0000000000000002E-5</v>
      </c>
    </row>
    <row r="23" spans="1:29" ht="15.75" x14ac:dyDescent="0.2">
      <c r="A23" s="16"/>
      <c r="B23" s="10" t="s">
        <v>25</v>
      </c>
      <c r="C23" s="11"/>
      <c r="D23" s="12"/>
      <c r="E23" s="20"/>
      <c r="F23" s="13"/>
      <c r="G23" s="13"/>
      <c r="H23" s="13"/>
      <c r="I23" s="13"/>
      <c r="J23" s="13"/>
      <c r="K23" s="13"/>
      <c r="L23" s="13"/>
      <c r="M23" s="11"/>
      <c r="N23" s="11"/>
      <c r="O23" s="12"/>
      <c r="P23" s="11"/>
      <c r="Q23" s="15"/>
      <c r="R23" s="11"/>
      <c r="S23" s="12"/>
      <c r="T23" s="11"/>
      <c r="U23" s="12"/>
      <c r="V23" s="11"/>
      <c r="W23" s="15"/>
      <c r="X23" s="11"/>
      <c r="Y23" s="15"/>
      <c r="Z23" s="11"/>
      <c r="AA23" s="15"/>
      <c r="AB23" s="11"/>
      <c r="AC23" s="15"/>
    </row>
    <row r="24" spans="1:29" ht="15.75" x14ac:dyDescent="0.2">
      <c r="A24" s="16" t="s">
        <v>45</v>
      </c>
      <c r="B24" s="10" t="s">
        <v>46</v>
      </c>
      <c r="C24" s="43">
        <f>F24+H24+J24+L24+N24+P24+R24+T24+V24+X24+Z24+AB24</f>
        <v>4.6074999999999999</v>
      </c>
      <c r="D24" s="43">
        <f>G24+I24+K24+M24+O24+Q24+S24+U24+W24+Y24+AA24+AC24</f>
        <v>3.7974999999999999</v>
      </c>
      <c r="E24" s="17">
        <f t="shared" ref="E24:E33" si="5">D24/C24*100</f>
        <v>82.419967444384156</v>
      </c>
      <c r="F24" s="17"/>
      <c r="G24" s="17"/>
      <c r="H24" s="17"/>
      <c r="I24" s="17"/>
      <c r="J24" s="17"/>
      <c r="K24" s="17"/>
      <c r="L24" s="17">
        <v>0.5</v>
      </c>
      <c r="M24" s="17">
        <v>0.49</v>
      </c>
      <c r="N24" s="17">
        <v>0.83450000000000002</v>
      </c>
      <c r="O24" s="17">
        <v>0.83450000000000002</v>
      </c>
      <c r="P24" s="17">
        <v>0.8</v>
      </c>
      <c r="Q24" s="17"/>
      <c r="R24" s="17">
        <v>1.5235000000000001</v>
      </c>
      <c r="S24" s="17">
        <v>1.5235000000000001</v>
      </c>
      <c r="T24" s="17">
        <v>0.94950000000000001</v>
      </c>
      <c r="U24" s="17">
        <v>0.94950000000000001</v>
      </c>
      <c r="V24" s="17">
        <v>0</v>
      </c>
      <c r="W24" s="17">
        <v>0</v>
      </c>
      <c r="X24" s="17"/>
      <c r="Y24" s="17"/>
      <c r="Z24" s="17"/>
      <c r="AA24" s="17"/>
      <c r="AB24" s="17"/>
      <c r="AC24" s="17"/>
    </row>
    <row r="25" spans="1:29" ht="15.75" x14ac:dyDescent="0.2">
      <c r="A25" s="16" t="s">
        <v>47</v>
      </c>
      <c r="B25" s="10" t="s">
        <v>48</v>
      </c>
      <c r="C25" s="43">
        <f t="shared" ref="C25:D32" si="6">F25+H25+J25+L25+N25+P25+R25+T25+V25+X25+Z25+AB25</f>
        <v>165.41543000000001</v>
      </c>
      <c r="D25" s="43">
        <f t="shared" si="6"/>
        <v>165.14671000000001</v>
      </c>
      <c r="E25" s="17">
        <f t="shared" si="5"/>
        <v>99.837548407666688</v>
      </c>
      <c r="F25" s="17">
        <v>12.55</v>
      </c>
      <c r="G25" s="17"/>
      <c r="H25" s="17">
        <v>14.3</v>
      </c>
      <c r="I25" s="17">
        <v>14.304080000000001</v>
      </c>
      <c r="J25" s="17">
        <v>16</v>
      </c>
      <c r="K25" s="17">
        <v>23.45729</v>
      </c>
      <c r="L25" s="17">
        <v>18</v>
      </c>
      <c r="M25" s="17">
        <f>27.3+0.00872-0.00042</f>
        <v>27.308300000000003</v>
      </c>
      <c r="N25" s="17">
        <v>35.700000000000003</v>
      </c>
      <c r="O25" s="17">
        <f>37.7+0.03265</f>
        <v>37.73265</v>
      </c>
      <c r="P25" s="17">
        <v>46</v>
      </c>
      <c r="Q25" s="17">
        <f>25.006+3.33482+2.71343+3.11236+3.27388+1.36469+0.67378</f>
        <v>39.478960000000001</v>
      </c>
      <c r="R25" s="17">
        <v>7.5493699999999997</v>
      </c>
      <c r="S25" s="17">
        <v>7.5493699999999997</v>
      </c>
      <c r="T25" s="17">
        <v>13.304309999999999</v>
      </c>
      <c r="U25" s="17">
        <v>13.304309999999999</v>
      </c>
      <c r="V25" s="17">
        <v>2.0117500000000001</v>
      </c>
      <c r="W25" s="17">
        <v>2.0117500000000001</v>
      </c>
      <c r="X25" s="17"/>
      <c r="Y25" s="17"/>
      <c r="Z25" s="17"/>
      <c r="AA25" s="17"/>
      <c r="AB25" s="17"/>
      <c r="AC25" s="17"/>
    </row>
    <row r="26" spans="1:29" ht="48.75" customHeight="1" x14ac:dyDescent="0.2">
      <c r="A26" s="16" t="s">
        <v>49</v>
      </c>
      <c r="B26" s="10" t="s">
        <v>50</v>
      </c>
      <c r="C26" s="43">
        <f t="shared" si="6"/>
        <v>417.83161000000001</v>
      </c>
      <c r="D26" s="43">
        <f t="shared" si="6"/>
        <v>352.15984999999995</v>
      </c>
      <c r="E26" s="17">
        <f t="shared" si="5"/>
        <v>84.282720974605041</v>
      </c>
      <c r="F26" s="17">
        <v>42.3</v>
      </c>
      <c r="G26" s="17"/>
      <c r="H26" s="17">
        <v>42.4</v>
      </c>
      <c r="I26" s="17">
        <v>4.3650000000000002</v>
      </c>
      <c r="J26" s="17">
        <v>42.4</v>
      </c>
      <c r="K26" s="17">
        <v>122.74872999999999</v>
      </c>
      <c r="L26" s="17">
        <v>33.6</v>
      </c>
      <c r="M26" s="17">
        <v>42.40898</v>
      </c>
      <c r="N26" s="17">
        <f>14.31801+7.71947+2</f>
        <v>24.037479999999999</v>
      </c>
      <c r="O26" s="17">
        <v>14.318009999999999</v>
      </c>
      <c r="P26" s="17">
        <f>6.53052+20.9956+14.24044-6</f>
        <v>35.766559999999998</v>
      </c>
      <c r="Q26" s="17">
        <f>6.53052+10.9956+0.00005</f>
        <v>17.52617</v>
      </c>
      <c r="R26" s="17">
        <v>65.216539999999995</v>
      </c>
      <c r="S26" s="17">
        <v>66.848950000000002</v>
      </c>
      <c r="T26" s="17">
        <v>84.412999999999997</v>
      </c>
      <c r="U26" s="17">
        <v>43.950710000000001</v>
      </c>
      <c r="V26" s="17">
        <v>47.698030000000003</v>
      </c>
      <c r="W26" s="17">
        <v>39.993299999999998</v>
      </c>
      <c r="X26" s="17"/>
      <c r="Y26" s="17"/>
      <c r="Z26" s="17"/>
      <c r="AA26" s="17"/>
      <c r="AB26" s="17"/>
      <c r="AC26" s="17"/>
    </row>
    <row r="27" spans="1:29" ht="15.75" x14ac:dyDescent="0.2">
      <c r="A27" s="16" t="s">
        <v>51</v>
      </c>
      <c r="B27" s="10" t="s">
        <v>52</v>
      </c>
      <c r="C27" s="43">
        <f t="shared" si="6"/>
        <v>33.457000000000001</v>
      </c>
      <c r="D27" s="43">
        <f t="shared" si="6"/>
        <v>33.388999999999996</v>
      </c>
      <c r="E27" s="17">
        <f t="shared" si="5"/>
        <v>99.7967540425023</v>
      </c>
      <c r="F27" s="17">
        <v>2.7</v>
      </c>
      <c r="G27" s="17"/>
      <c r="H27" s="17">
        <v>2.6</v>
      </c>
      <c r="I27" s="17">
        <v>0</v>
      </c>
      <c r="J27" s="17">
        <f>2.6+0.018</f>
        <v>2.6179999999999999</v>
      </c>
      <c r="K27" s="17">
        <v>7.85</v>
      </c>
      <c r="L27" s="17">
        <v>2.6</v>
      </c>
      <c r="M27" s="17">
        <v>2.6</v>
      </c>
      <c r="N27" s="17">
        <v>2.6539999999999999</v>
      </c>
      <c r="O27" s="17">
        <v>2.6539999999999999</v>
      </c>
      <c r="P27" s="17">
        <f>3.935+1.08</f>
        <v>5.0150000000000006</v>
      </c>
      <c r="Q27" s="17">
        <f>3.935+1.08</f>
        <v>5.0150000000000006</v>
      </c>
      <c r="R27" s="17">
        <v>5.09</v>
      </c>
      <c r="S27" s="17">
        <v>5.09</v>
      </c>
      <c r="T27" s="17">
        <v>5.09</v>
      </c>
      <c r="U27" s="17">
        <v>5.09</v>
      </c>
      <c r="V27" s="17">
        <v>5.09</v>
      </c>
      <c r="W27" s="17">
        <v>5.09</v>
      </c>
      <c r="X27" s="17"/>
      <c r="Y27" s="17"/>
      <c r="Z27" s="17"/>
      <c r="AA27" s="17"/>
      <c r="AB27" s="17"/>
      <c r="AC27" s="17"/>
    </row>
    <row r="28" spans="1:29" ht="15.75" x14ac:dyDescent="0.2">
      <c r="A28" s="16" t="s">
        <v>51</v>
      </c>
      <c r="B28" s="10" t="s">
        <v>53</v>
      </c>
      <c r="C28" s="43">
        <f t="shared" si="6"/>
        <v>14.33048</v>
      </c>
      <c r="D28" s="43">
        <f t="shared" si="6"/>
        <v>14.26848</v>
      </c>
      <c r="E28" s="17">
        <f>D28/C28*100</f>
        <v>99.567355734071711</v>
      </c>
      <c r="F28" s="17">
        <v>2.4</v>
      </c>
      <c r="G28" s="17"/>
      <c r="H28" s="17">
        <v>2.4</v>
      </c>
      <c r="I28" s="17">
        <v>1.861</v>
      </c>
      <c r="J28" s="17">
        <v>2.4</v>
      </c>
      <c r="K28" s="17">
        <v>5.2320000000000002</v>
      </c>
      <c r="L28" s="17">
        <v>3.3</v>
      </c>
      <c r="M28" s="17">
        <v>3.3450000000000002</v>
      </c>
      <c r="N28" s="17">
        <v>2.073</v>
      </c>
      <c r="O28" s="17">
        <v>2.073</v>
      </c>
      <c r="P28" s="17">
        <f>1.75748</f>
        <v>1.7574799999999999</v>
      </c>
      <c r="Q28" s="17">
        <f>1.75748</f>
        <v>1.7574799999999999</v>
      </c>
      <c r="R28" s="17">
        <v>0</v>
      </c>
      <c r="S28" s="17">
        <v>0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ht="31.5" x14ac:dyDescent="0.2">
      <c r="A29" s="16" t="s">
        <v>51</v>
      </c>
      <c r="B29" s="10" t="s">
        <v>54</v>
      </c>
      <c r="C29" s="43">
        <f t="shared" si="6"/>
        <v>76.926989999999989</v>
      </c>
      <c r="D29" s="43">
        <f t="shared" si="6"/>
        <v>67.826989999999995</v>
      </c>
      <c r="E29" s="17">
        <f>D29/C29*100</f>
        <v>88.170601761488399</v>
      </c>
      <c r="F29" s="17">
        <v>9.1</v>
      </c>
      <c r="G29" s="17"/>
      <c r="H29" s="17">
        <v>8.3000000000000007</v>
      </c>
      <c r="I29" s="17">
        <v>12.78</v>
      </c>
      <c r="J29" s="17">
        <v>18.5</v>
      </c>
      <c r="K29" s="17">
        <v>13.98</v>
      </c>
      <c r="L29" s="17">
        <v>7.9</v>
      </c>
      <c r="M29" s="17">
        <v>7.94</v>
      </c>
      <c r="N29" s="17">
        <v>9.6270000000000007</v>
      </c>
      <c r="O29" s="17">
        <v>9.6270000000000007</v>
      </c>
      <c r="P29" s="17">
        <f>4.7+6.765</f>
        <v>11.465</v>
      </c>
      <c r="Q29" s="17">
        <f>4.7+6.765</f>
        <v>11.465</v>
      </c>
      <c r="R29" s="17">
        <v>12.034990000000001</v>
      </c>
      <c r="S29" s="17">
        <v>12.034990000000001</v>
      </c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ht="15.75" x14ac:dyDescent="0.2">
      <c r="A30" s="16" t="s">
        <v>51</v>
      </c>
      <c r="B30" s="10" t="s">
        <v>55</v>
      </c>
      <c r="C30" s="43">
        <f t="shared" si="6"/>
        <v>21.412130000000005</v>
      </c>
      <c r="D30" s="43">
        <f t="shared" si="6"/>
        <v>16.240169999999999</v>
      </c>
      <c r="E30" s="17">
        <f>D30/C30*100</f>
        <v>75.845653842004495</v>
      </c>
      <c r="F30" s="17">
        <v>1.9</v>
      </c>
      <c r="G30" s="17"/>
      <c r="H30" s="17">
        <v>2</v>
      </c>
      <c r="I30" s="17">
        <v>2.6220400000000001</v>
      </c>
      <c r="J30" s="17">
        <v>4</v>
      </c>
      <c r="K30" s="17">
        <v>3.306</v>
      </c>
      <c r="L30" s="17">
        <v>3.2</v>
      </c>
      <c r="M30" s="17">
        <v>0</v>
      </c>
      <c r="N30" s="17">
        <v>1.3225199999999999</v>
      </c>
      <c r="O30" s="17">
        <v>1.3225199999999999</v>
      </c>
      <c r="P30" s="17"/>
      <c r="Q30" s="17"/>
      <c r="R30" s="17">
        <v>0</v>
      </c>
      <c r="S30" s="17">
        <v>0</v>
      </c>
      <c r="T30" s="17">
        <v>1.99769</v>
      </c>
      <c r="U30" s="17">
        <v>1.99769</v>
      </c>
      <c r="V30" s="17">
        <v>6.9919200000000004</v>
      </c>
      <c r="W30" s="17">
        <v>6.9919200000000004</v>
      </c>
      <c r="X30" s="17"/>
      <c r="Y30" s="17"/>
      <c r="Z30" s="17"/>
      <c r="AA30" s="17"/>
      <c r="AB30" s="17"/>
      <c r="AC30" s="17"/>
    </row>
    <row r="31" spans="1:29" ht="31.5" x14ac:dyDescent="0.2">
      <c r="A31" s="16" t="s">
        <v>51</v>
      </c>
      <c r="B31" s="10" t="s">
        <v>56</v>
      </c>
      <c r="C31" s="43">
        <f t="shared" si="6"/>
        <v>108.61185999999998</v>
      </c>
      <c r="D31" s="43">
        <f t="shared" si="6"/>
        <v>106.66488999999999</v>
      </c>
      <c r="E31" s="17">
        <f>D31/C31*100</f>
        <v>98.207405710573411</v>
      </c>
      <c r="F31" s="17">
        <v>12</v>
      </c>
      <c r="G31" s="17"/>
      <c r="H31" s="17">
        <v>14.3</v>
      </c>
      <c r="I31" s="17">
        <v>7.7691999999999997</v>
      </c>
      <c r="J31" s="17">
        <v>12.1</v>
      </c>
      <c r="K31" s="17">
        <v>28.68383</v>
      </c>
      <c r="L31" s="17">
        <v>12.9</v>
      </c>
      <c r="M31" s="17">
        <v>12.9</v>
      </c>
      <c r="N31" s="17">
        <v>13.451499999999999</v>
      </c>
      <c r="O31" s="17">
        <v>13.451499999999999</v>
      </c>
      <c r="P31" s="17">
        <f>1.547+0.86+4.975+2.6+1.716+0.2185+1.462+1.60446+2.769</f>
        <v>17.751959999999997</v>
      </c>
      <c r="Q31" s="17">
        <f>1.547+0.86+4.975+2.6+1.716+0.2185+1.462+1.60446+2.769</f>
        <v>17.751959999999997</v>
      </c>
      <c r="R31" s="17">
        <v>9.1956000000000007</v>
      </c>
      <c r="S31" s="17">
        <v>9.1956000000000007</v>
      </c>
      <c r="T31" s="17">
        <v>8.8085000000000004</v>
      </c>
      <c r="U31" s="17">
        <v>8.8085000000000004</v>
      </c>
      <c r="V31" s="17">
        <v>8.1043000000000003</v>
      </c>
      <c r="W31" s="17">
        <v>8.1043000000000003</v>
      </c>
      <c r="X31" s="17"/>
      <c r="Y31" s="17"/>
      <c r="Z31" s="17"/>
      <c r="AA31" s="17"/>
      <c r="AB31" s="17"/>
      <c r="AC31" s="17"/>
    </row>
    <row r="32" spans="1:29" ht="15.75" x14ac:dyDescent="0.2">
      <c r="A32" s="19" t="s">
        <v>57</v>
      </c>
      <c r="B32" s="7" t="s">
        <v>58</v>
      </c>
      <c r="C32" s="41">
        <f t="shared" si="6"/>
        <v>180</v>
      </c>
      <c r="D32" s="41">
        <f t="shared" si="6"/>
        <v>180</v>
      </c>
      <c r="E32" s="8">
        <f t="shared" si="5"/>
        <v>100</v>
      </c>
      <c r="F32" s="8">
        <v>20</v>
      </c>
      <c r="G32" s="8">
        <v>20</v>
      </c>
      <c r="H32" s="8">
        <v>20</v>
      </c>
      <c r="I32" s="8">
        <v>20</v>
      </c>
      <c r="J32" s="8">
        <v>20</v>
      </c>
      <c r="K32" s="8">
        <v>20</v>
      </c>
      <c r="L32" s="8">
        <v>20</v>
      </c>
      <c r="M32" s="8">
        <v>20</v>
      </c>
      <c r="N32" s="8">
        <v>20</v>
      </c>
      <c r="O32" s="8">
        <v>20</v>
      </c>
      <c r="P32" s="8">
        <v>20</v>
      </c>
      <c r="Q32" s="8">
        <v>20</v>
      </c>
      <c r="R32" s="8">
        <v>20</v>
      </c>
      <c r="S32" s="8">
        <v>20</v>
      </c>
      <c r="T32" s="8">
        <v>20</v>
      </c>
      <c r="U32" s="8">
        <v>20</v>
      </c>
      <c r="V32" s="8">
        <v>20</v>
      </c>
      <c r="W32" s="8">
        <v>20</v>
      </c>
      <c r="X32" s="8"/>
      <c r="Y32" s="8"/>
      <c r="Z32" s="8"/>
      <c r="AA32" s="8"/>
      <c r="AB32" s="8"/>
      <c r="AC32" s="8"/>
    </row>
    <row r="33" spans="1:29" ht="28.5" x14ac:dyDescent="0.2">
      <c r="A33" s="19" t="s">
        <v>59</v>
      </c>
      <c r="B33" s="7" t="s">
        <v>60</v>
      </c>
      <c r="C33" s="41">
        <f>F33+H33+J33+L33+N33+P33+R33+T33+V33+X33+Z33+AB33</f>
        <v>568.50701000000004</v>
      </c>
      <c r="D33" s="41">
        <f>G33+I33+K33+M33+O33+Q33+S33+U33+W33+Y33+AA33+AC33</f>
        <v>161.19556000000003</v>
      </c>
      <c r="E33" s="8">
        <f t="shared" si="5"/>
        <v>28.354190390721833</v>
      </c>
      <c r="F33" s="8">
        <f t="shared" ref="F33:AC33" si="7">SUM(F35:F54)</f>
        <v>16.006409999999999</v>
      </c>
      <c r="G33" s="8">
        <f t="shared" si="7"/>
        <v>12.330049999999998</v>
      </c>
      <c r="H33" s="8">
        <f t="shared" si="7"/>
        <v>16.000329999999998</v>
      </c>
      <c r="I33" s="8">
        <f t="shared" si="7"/>
        <v>19.25836</v>
      </c>
      <c r="J33" s="8">
        <f t="shared" si="7"/>
        <v>18.000080000000001</v>
      </c>
      <c r="K33" s="8">
        <f t="shared" si="7"/>
        <v>12.123710000000001</v>
      </c>
      <c r="L33" s="8">
        <f t="shared" si="7"/>
        <v>14.04453</v>
      </c>
      <c r="M33" s="8">
        <f t="shared" si="7"/>
        <v>15.77777</v>
      </c>
      <c r="N33" s="8">
        <f t="shared" si="7"/>
        <v>13.986769999999998</v>
      </c>
      <c r="O33" s="8">
        <f t="shared" si="7"/>
        <v>17.576310000000003</v>
      </c>
      <c r="P33" s="8">
        <f t="shared" si="7"/>
        <v>14.365879999999999</v>
      </c>
      <c r="Q33" s="8">
        <f t="shared" si="7"/>
        <v>14.400650000000002</v>
      </c>
      <c r="R33" s="8">
        <f t="shared" si="7"/>
        <v>45.000010000000003</v>
      </c>
      <c r="S33" s="8">
        <f t="shared" si="7"/>
        <v>23.97775</v>
      </c>
      <c r="T33" s="8">
        <f t="shared" si="7"/>
        <v>415.10300000000001</v>
      </c>
      <c r="U33" s="8">
        <f t="shared" si="7"/>
        <v>26.06692</v>
      </c>
      <c r="V33" s="8">
        <f t="shared" si="7"/>
        <v>16</v>
      </c>
      <c r="W33" s="8">
        <f t="shared" si="7"/>
        <v>19.684040000000003</v>
      </c>
      <c r="X33" s="8">
        <f t="shared" si="7"/>
        <v>0</v>
      </c>
      <c r="Y33" s="8">
        <f t="shared" si="7"/>
        <v>0</v>
      </c>
      <c r="Z33" s="8">
        <f t="shared" si="7"/>
        <v>0</v>
      </c>
      <c r="AA33" s="8">
        <f t="shared" si="7"/>
        <v>0</v>
      </c>
      <c r="AB33" s="8">
        <f t="shared" si="7"/>
        <v>0</v>
      </c>
      <c r="AC33" s="8">
        <f t="shared" si="7"/>
        <v>0</v>
      </c>
    </row>
    <row r="34" spans="1:29" ht="15.75" x14ac:dyDescent="0.2">
      <c r="A34" s="16"/>
      <c r="B34" s="10" t="s">
        <v>61</v>
      </c>
      <c r="C34" s="42"/>
      <c r="D34" s="4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2"/>
      <c r="Q34" s="13"/>
      <c r="R34" s="14"/>
      <c r="S34" s="12"/>
      <c r="T34" s="12"/>
      <c r="U34" s="20"/>
      <c r="V34" s="13"/>
      <c r="W34" s="20"/>
      <c r="X34" s="13"/>
      <c r="Y34" s="13"/>
      <c r="Z34" s="13"/>
      <c r="AA34" s="13"/>
      <c r="AB34" s="13"/>
      <c r="AC34" s="13"/>
    </row>
    <row r="35" spans="1:29" ht="47.25" x14ac:dyDescent="0.2">
      <c r="A35" s="16" t="s">
        <v>62</v>
      </c>
      <c r="B35" s="10" t="s">
        <v>63</v>
      </c>
      <c r="C35" s="43">
        <f>F35+H35+J35+L35+N35+P35+R35+T35+V35+X35+Z35+AB35</f>
        <v>0</v>
      </c>
      <c r="D35" s="43">
        <f>G35+I35+K35+M35+O35+Q35+S35+U35+W35+Y35+AA35+AC35</f>
        <v>9.6350800000000003</v>
      </c>
      <c r="E35" s="17" t="e">
        <f>D35/C35*100</f>
        <v>#DIV/0!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>
        <v>9.6350800000000003</v>
      </c>
      <c r="X35" s="17"/>
      <c r="Y35" s="17"/>
      <c r="Z35" s="17"/>
      <c r="AA35" s="17"/>
      <c r="AB35" s="17"/>
      <c r="AC35" s="17"/>
    </row>
    <row r="36" spans="1:29" ht="47.25" x14ac:dyDescent="0.2">
      <c r="A36" s="16" t="s">
        <v>64</v>
      </c>
      <c r="B36" s="10" t="s">
        <v>65</v>
      </c>
      <c r="C36" s="43">
        <f>F36+H36+J36+L36+N36+P36+R36+T36+V36+X36+Z36+AB36</f>
        <v>400</v>
      </c>
      <c r="D36" s="43">
        <f t="shared" ref="D36:D54" si="8">G36+I36+K36+M36+O36+Q36+S36+U36+W36+Y36+AA36+AC36</f>
        <v>0</v>
      </c>
      <c r="E36" s="17">
        <f t="shared" ref="E36:E56" si="9">D36/C36*100</f>
        <v>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>
        <v>400</v>
      </c>
      <c r="U36" s="17"/>
      <c r="V36" s="17"/>
      <c r="W36" s="17"/>
      <c r="X36" s="17"/>
      <c r="Y36" s="17"/>
      <c r="Z36" s="17"/>
      <c r="AA36" s="17"/>
      <c r="AB36" s="17"/>
      <c r="AC36" s="17"/>
    </row>
    <row r="37" spans="1:29" ht="15.75" x14ac:dyDescent="0.2">
      <c r="A37" s="16" t="s">
        <v>66</v>
      </c>
      <c r="B37" s="10" t="s">
        <v>67</v>
      </c>
      <c r="C37" s="43">
        <f t="shared" ref="C37:D55" si="10">F37+H37+J37+L37+N37+P37+R37+T37+V37+X37+Z37+AB37</f>
        <v>16.07001</v>
      </c>
      <c r="D37" s="43">
        <f t="shared" si="8"/>
        <v>16.14171</v>
      </c>
      <c r="E37" s="17">
        <f t="shared" si="9"/>
        <v>100.44617271551168</v>
      </c>
      <c r="F37" s="17">
        <f>1.48244+0.62513</f>
        <v>2.1075699999999999</v>
      </c>
      <c r="G37" s="17">
        <f>1.48244+0.62513</f>
        <v>2.1075699999999999</v>
      </c>
      <c r="H37" s="17">
        <v>2.1</v>
      </c>
      <c r="I37" s="17">
        <f>1.48244+0.45659</f>
        <v>1.93903</v>
      </c>
      <c r="J37" s="17">
        <v>2.1</v>
      </c>
      <c r="K37" s="17">
        <f>0.36859+1.48244</f>
        <v>1.85103</v>
      </c>
      <c r="L37" s="17">
        <v>1.2</v>
      </c>
      <c r="M37" s="17">
        <v>2.0329700000000002</v>
      </c>
      <c r="N37" s="17">
        <v>1.1824399999999999</v>
      </c>
      <c r="O37" s="17">
        <f>1.48244+0.79891</f>
        <v>2.2813499999999998</v>
      </c>
      <c r="P37" s="17">
        <v>1.18</v>
      </c>
      <c r="Q37" s="17">
        <v>1.48244</v>
      </c>
      <c r="R37" s="17">
        <v>2.1</v>
      </c>
      <c r="S37" s="17">
        <v>1.48244</v>
      </c>
      <c r="T37" s="17">
        <v>2.1</v>
      </c>
      <c r="U37" s="17">
        <v>1.48244</v>
      </c>
      <c r="V37" s="17">
        <v>2</v>
      </c>
      <c r="W37" s="17">
        <v>1.48244</v>
      </c>
      <c r="X37" s="17"/>
      <c r="Y37" s="17"/>
      <c r="Z37" s="17"/>
      <c r="AA37" s="17"/>
      <c r="AB37" s="17"/>
      <c r="AC37" s="17"/>
    </row>
    <row r="38" spans="1:29" ht="47.25" x14ac:dyDescent="0.2">
      <c r="A38" s="16" t="s">
        <v>68</v>
      </c>
      <c r="B38" s="10" t="s">
        <v>69</v>
      </c>
      <c r="C38" s="43">
        <f t="shared" si="10"/>
        <v>0</v>
      </c>
      <c r="D38" s="43">
        <f t="shared" si="8"/>
        <v>0</v>
      </c>
      <c r="E38" s="17" t="e">
        <f t="shared" si="9"/>
        <v>#DIV/0!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ht="15.75" x14ac:dyDescent="0.2">
      <c r="A39" s="16" t="s">
        <v>70</v>
      </c>
      <c r="B39" s="10" t="s">
        <v>71</v>
      </c>
      <c r="C39" s="43">
        <f t="shared" si="10"/>
        <v>0</v>
      </c>
      <c r="D39" s="43">
        <f t="shared" si="8"/>
        <v>0</v>
      </c>
      <c r="E39" s="17" t="e">
        <f t="shared" si="9"/>
        <v>#DIV/0!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1:29" ht="31.5" x14ac:dyDescent="0.2">
      <c r="A40" s="16" t="s">
        <v>72</v>
      </c>
      <c r="B40" s="10" t="s">
        <v>73</v>
      </c>
      <c r="C40" s="43">
        <f t="shared" si="10"/>
        <v>46.413029999999992</v>
      </c>
      <c r="D40" s="43">
        <f t="shared" si="8"/>
        <v>42.623351999999997</v>
      </c>
      <c r="E40" s="17">
        <f t="shared" si="9"/>
        <v>91.83488343682798</v>
      </c>
      <c r="F40" s="17">
        <f>1.56214+2.21508-0.31777-0.03+0.00636</f>
        <v>3.43581</v>
      </c>
      <c r="G40" s="17">
        <f>1.56214+2.21508-0.31777</f>
        <v>3.4594499999999999</v>
      </c>
      <c r="H40" s="17">
        <f>1.86907+2.21508-0.31997+0.015</f>
        <v>3.7791800000000002</v>
      </c>
      <c r="I40" s="17">
        <f>1.86907+2.21508-0.31997</f>
        <v>3.7641800000000001</v>
      </c>
      <c r="J40" s="17">
        <f>8.8-0.006</f>
        <v>8.7940000000000005</v>
      </c>
      <c r="K40" s="17">
        <f>1.81447+2.21508-0.31777</f>
        <v>3.7117800000000005</v>
      </c>
      <c r="L40" s="17">
        <v>3.7</v>
      </c>
      <c r="M40" s="17">
        <f>4.06435-0.31692</f>
        <v>3.74743</v>
      </c>
      <c r="N40" s="17">
        <v>3.4</v>
      </c>
      <c r="O40" s="17">
        <f>1.97413+3.62123-0.460558</f>
        <v>5.1348020000000005</v>
      </c>
      <c r="P40" s="17">
        <v>5.5</v>
      </c>
      <c r="Q40" s="17">
        <f>1.87513+3.62123-0.50787</f>
        <v>4.9884900000000005</v>
      </c>
      <c r="R40" s="17">
        <v>5.5040399999999998</v>
      </c>
      <c r="S40" s="17">
        <v>5.5040399999999998</v>
      </c>
      <c r="T40" s="17">
        <v>5.5</v>
      </c>
      <c r="U40" s="17">
        <v>5.4883499999999996</v>
      </c>
      <c r="V40" s="17">
        <v>6.8</v>
      </c>
      <c r="W40" s="17">
        <v>6.8248300000000004</v>
      </c>
      <c r="X40" s="17"/>
      <c r="Y40" s="17"/>
      <c r="Z40" s="17"/>
      <c r="AA40" s="17"/>
      <c r="AB40" s="17"/>
      <c r="AC40" s="17"/>
    </row>
    <row r="41" spans="1:29" ht="47.25" x14ac:dyDescent="0.2">
      <c r="A41" s="16" t="s">
        <v>74</v>
      </c>
      <c r="B41" s="10" t="s">
        <v>75</v>
      </c>
      <c r="C41" s="43">
        <f t="shared" si="10"/>
        <v>46.741540000000001</v>
      </c>
      <c r="D41" s="43">
        <f t="shared" si="8"/>
        <v>35.613990000000001</v>
      </c>
      <c r="E41" s="17">
        <f t="shared" si="9"/>
        <v>76.193445915560332</v>
      </c>
      <c r="F41" s="17">
        <v>3.9961500000000001</v>
      </c>
      <c r="G41" s="17">
        <v>3.9961500000000001</v>
      </c>
      <c r="H41" s="17">
        <v>3.9961500000000001</v>
      </c>
      <c r="I41" s="17">
        <v>3.9961500000000001</v>
      </c>
      <c r="J41" s="17">
        <v>4.5</v>
      </c>
      <c r="K41" s="17">
        <v>3.9961500000000001</v>
      </c>
      <c r="L41" s="17">
        <v>8.1999999999999993</v>
      </c>
      <c r="M41" s="17">
        <v>8.1528399999999994</v>
      </c>
      <c r="N41" s="17"/>
      <c r="O41" s="17"/>
      <c r="P41" s="17">
        <v>0.5</v>
      </c>
      <c r="Q41" s="17">
        <v>0.69255999999999995</v>
      </c>
      <c r="R41" s="17">
        <v>12.7</v>
      </c>
      <c r="S41" s="17"/>
      <c r="T41" s="17">
        <v>6.5761200000000004</v>
      </c>
      <c r="U41" s="17">
        <v>14.780139999999999</v>
      </c>
      <c r="V41" s="17">
        <v>6.2731199999999996</v>
      </c>
      <c r="W41" s="17"/>
      <c r="X41" s="17"/>
      <c r="Y41" s="17"/>
      <c r="Z41" s="17"/>
      <c r="AA41" s="17"/>
      <c r="AB41" s="17"/>
      <c r="AC41" s="17"/>
    </row>
    <row r="42" spans="1:29" ht="47.25" x14ac:dyDescent="0.2">
      <c r="A42" s="16" t="s">
        <v>76</v>
      </c>
      <c r="B42" s="10" t="s">
        <v>77</v>
      </c>
      <c r="C42" s="43">
        <f t="shared" si="10"/>
        <v>2.6</v>
      </c>
      <c r="D42" s="43">
        <f t="shared" si="8"/>
        <v>2.5743</v>
      </c>
      <c r="E42" s="17">
        <f t="shared" si="9"/>
        <v>99.011538461538464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>
        <v>2.6</v>
      </c>
      <c r="S42" s="17"/>
      <c r="T42" s="17"/>
      <c r="U42" s="17">
        <v>2.5743</v>
      </c>
      <c r="V42" s="17"/>
      <c r="W42" s="17"/>
      <c r="X42" s="17"/>
      <c r="Y42" s="17"/>
      <c r="Z42" s="17"/>
      <c r="AA42" s="17"/>
      <c r="AB42" s="17"/>
      <c r="AC42" s="17"/>
    </row>
    <row r="43" spans="1:29" ht="47.25" x14ac:dyDescent="0.2">
      <c r="A43" s="16" t="s">
        <v>78</v>
      </c>
      <c r="B43" s="10" t="s">
        <v>79</v>
      </c>
      <c r="C43" s="43">
        <f t="shared" si="10"/>
        <v>4.7200000000000006</v>
      </c>
      <c r="D43" s="43">
        <f t="shared" si="8"/>
        <v>5.5348100000000002</v>
      </c>
      <c r="E43" s="17">
        <f t="shared" si="9"/>
        <v>117.26292372881355</v>
      </c>
      <c r="F43" s="17">
        <v>2</v>
      </c>
      <c r="G43" s="17">
        <v>2</v>
      </c>
      <c r="H43" s="17"/>
      <c r="I43" s="17"/>
      <c r="J43" s="17"/>
      <c r="K43" s="17"/>
      <c r="L43" s="17"/>
      <c r="M43" s="17"/>
      <c r="N43" s="17"/>
      <c r="O43" s="17"/>
      <c r="P43" s="17">
        <f>1.1+1.62</f>
        <v>2.72</v>
      </c>
      <c r="Q43" s="17">
        <f>1.1+1.62</f>
        <v>2.72</v>
      </c>
      <c r="R43" s="17"/>
      <c r="S43" s="17"/>
      <c r="T43" s="17"/>
      <c r="U43" s="17"/>
      <c r="V43" s="17"/>
      <c r="W43" s="17">
        <v>0.81481000000000003</v>
      </c>
      <c r="X43" s="17"/>
      <c r="Y43" s="17"/>
      <c r="Z43" s="17"/>
      <c r="AA43" s="17"/>
      <c r="AB43" s="17"/>
      <c r="AC43" s="17"/>
    </row>
    <row r="44" spans="1:29" ht="31.5" x14ac:dyDescent="0.2">
      <c r="A44" s="16" t="s">
        <v>80</v>
      </c>
      <c r="B44" s="10" t="s">
        <v>81</v>
      </c>
      <c r="C44" s="43">
        <f t="shared" si="10"/>
        <v>2.2466600000000003</v>
      </c>
      <c r="D44" s="43">
        <f t="shared" si="8"/>
        <v>2.3234379999999999</v>
      </c>
      <c r="E44" s="17">
        <f t="shared" si="9"/>
        <v>103.41742853836359</v>
      </c>
      <c r="F44" s="17"/>
      <c r="G44" s="17"/>
      <c r="H44" s="17"/>
      <c r="I44" s="17"/>
      <c r="J44" s="17">
        <v>0.45</v>
      </c>
      <c r="K44" s="17">
        <v>2.0910000000000002E-2</v>
      </c>
      <c r="L44" s="18">
        <v>1.7649999999999999E-2</v>
      </c>
      <c r="M44" s="18">
        <v>1.7649999999999999E-2</v>
      </c>
      <c r="N44" s="18">
        <v>1.7649999999999999E-2</v>
      </c>
      <c r="O44" s="18">
        <f>0.00432+0.001158</f>
        <v>5.4780000000000002E-3</v>
      </c>
      <c r="P44" s="17">
        <v>1.1000000000000001</v>
      </c>
      <c r="Q44" s="17">
        <f>0.00432+0.79891</f>
        <v>0.80323</v>
      </c>
      <c r="R44" s="17">
        <v>0.66135999999999995</v>
      </c>
      <c r="S44" s="17">
        <v>0.66135999999999995</v>
      </c>
      <c r="T44" s="17"/>
      <c r="U44" s="17">
        <v>0.81481000000000003</v>
      </c>
      <c r="V44" s="17"/>
      <c r="W44" s="17"/>
      <c r="X44" s="17"/>
      <c r="Y44" s="17"/>
      <c r="Z44" s="17"/>
      <c r="AA44" s="17"/>
      <c r="AB44" s="17"/>
      <c r="AC44" s="17"/>
    </row>
    <row r="45" spans="1:29" ht="18" customHeight="1" x14ac:dyDescent="0.2">
      <c r="A45" s="16" t="s">
        <v>82</v>
      </c>
      <c r="B45" s="10" t="s">
        <v>83</v>
      </c>
      <c r="C45" s="43">
        <f t="shared" si="10"/>
        <v>4.1071600000000004</v>
      </c>
      <c r="D45" s="43">
        <f t="shared" si="8"/>
        <v>3.99492</v>
      </c>
      <c r="E45" s="17">
        <f t="shared" si="9"/>
        <v>97.26721140642195</v>
      </c>
      <c r="F45" s="17">
        <v>0.44388</v>
      </c>
      <c r="G45" s="17">
        <v>0.44388</v>
      </c>
      <c r="H45" s="17">
        <v>0.5</v>
      </c>
      <c r="I45" s="17">
        <f>0</f>
        <v>0</v>
      </c>
      <c r="J45" s="17">
        <v>0.5</v>
      </c>
      <c r="K45" s="17">
        <f>0.44388+0.44388</f>
        <v>0.88775999999999999</v>
      </c>
      <c r="L45" s="17">
        <v>0.44388</v>
      </c>
      <c r="M45" s="17">
        <v>0.44388</v>
      </c>
      <c r="N45" s="17">
        <v>0.44388</v>
      </c>
      <c r="O45" s="17">
        <v>0.44388</v>
      </c>
      <c r="P45" s="17">
        <v>0.44388</v>
      </c>
      <c r="Q45" s="17">
        <v>0.44388</v>
      </c>
      <c r="R45" s="17">
        <v>0.44388</v>
      </c>
      <c r="S45" s="17">
        <v>0.44388</v>
      </c>
      <c r="T45" s="17">
        <v>0.44388</v>
      </c>
      <c r="U45" s="17">
        <v>0.44388</v>
      </c>
      <c r="V45" s="17">
        <v>0.44388</v>
      </c>
      <c r="W45" s="17">
        <v>0.44388</v>
      </c>
      <c r="X45" s="17"/>
      <c r="Y45" s="17"/>
      <c r="Z45" s="17"/>
      <c r="AA45" s="17"/>
      <c r="AB45" s="17"/>
      <c r="AC45" s="17"/>
    </row>
    <row r="46" spans="1:29" ht="31.5" x14ac:dyDescent="0.2">
      <c r="A46" s="16" t="s">
        <v>84</v>
      </c>
      <c r="B46" s="10" t="s">
        <v>85</v>
      </c>
      <c r="C46" s="43">
        <f t="shared" si="10"/>
        <v>0.79042999999999997</v>
      </c>
      <c r="D46" s="43">
        <f t="shared" si="8"/>
        <v>0.79042999999999997</v>
      </c>
      <c r="E46" s="17">
        <f t="shared" si="9"/>
        <v>100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>
        <v>0.79042999999999997</v>
      </c>
      <c r="S46" s="17">
        <v>0.79042999999999997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29" ht="31.5" x14ac:dyDescent="0.2">
      <c r="A47" s="16" t="s">
        <v>86</v>
      </c>
      <c r="B47" s="10" t="s">
        <v>87</v>
      </c>
      <c r="C47" s="43">
        <f t="shared" si="10"/>
        <v>3.7030000000000003</v>
      </c>
      <c r="D47" s="43">
        <f t="shared" si="8"/>
        <v>3.8640000000000003</v>
      </c>
      <c r="E47" s="17">
        <f t="shared" si="9"/>
        <v>104.34782608695652</v>
      </c>
      <c r="F47" s="17">
        <v>0.32200000000000001</v>
      </c>
      <c r="G47" s="17">
        <v>0.32200000000000001</v>
      </c>
      <c r="H47" s="17">
        <v>0.32200000000000001</v>
      </c>
      <c r="I47" s="17">
        <v>0.32200000000000001</v>
      </c>
      <c r="J47" s="17">
        <v>0.32200000000000001</v>
      </c>
      <c r="K47" s="17">
        <v>0.32200000000000001</v>
      </c>
      <c r="L47" s="17">
        <v>0.48299999999999998</v>
      </c>
      <c r="M47" s="17">
        <v>0.48299999999999998</v>
      </c>
      <c r="N47" s="17">
        <v>0.48299999999999998</v>
      </c>
      <c r="O47" s="17">
        <v>0.48299999999999998</v>
      </c>
      <c r="P47" s="17">
        <v>0.32200000000000001</v>
      </c>
      <c r="Q47" s="17">
        <v>0.48299999999999998</v>
      </c>
      <c r="R47" s="17">
        <v>0.48299999999999998</v>
      </c>
      <c r="S47" s="17">
        <v>0.48299999999999998</v>
      </c>
      <c r="T47" s="17">
        <v>0.48299999999999998</v>
      </c>
      <c r="U47" s="17">
        <v>0.48299999999999998</v>
      </c>
      <c r="V47" s="17">
        <v>0.48299999999999998</v>
      </c>
      <c r="W47" s="17">
        <v>0.48299999999999998</v>
      </c>
      <c r="X47" s="17"/>
      <c r="Y47" s="17"/>
      <c r="Z47" s="17"/>
      <c r="AA47" s="17"/>
      <c r="AB47" s="17"/>
      <c r="AC47" s="17"/>
    </row>
    <row r="48" spans="1:29" ht="31.5" x14ac:dyDescent="0.2">
      <c r="A48" s="16" t="s">
        <v>88</v>
      </c>
      <c r="B48" s="10" t="s">
        <v>89</v>
      </c>
      <c r="C48" s="43">
        <f t="shared" si="10"/>
        <v>27.817300000000003</v>
      </c>
      <c r="D48" s="43">
        <f t="shared" si="8"/>
        <v>22.899650000000001</v>
      </c>
      <c r="E48" s="17">
        <f t="shared" si="9"/>
        <v>82.321612809294933</v>
      </c>
      <c r="F48" s="17"/>
      <c r="G48" s="17"/>
      <c r="H48" s="17"/>
      <c r="I48" s="17"/>
      <c r="J48" s="17"/>
      <c r="K48" s="17"/>
      <c r="L48" s="17"/>
      <c r="M48" s="17"/>
      <c r="N48" s="17">
        <v>5.5</v>
      </c>
      <c r="O48" s="17">
        <v>5.5</v>
      </c>
      <c r="P48" s="17">
        <v>2.6</v>
      </c>
      <c r="Q48" s="17">
        <v>2.7870499999999998</v>
      </c>
      <c r="R48" s="17">
        <v>19.717300000000002</v>
      </c>
      <c r="S48" s="17">
        <v>14.6126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spans="1:29" ht="31.5" x14ac:dyDescent="0.2">
      <c r="A49" s="16" t="s">
        <v>90</v>
      </c>
      <c r="B49" s="10" t="s">
        <v>91</v>
      </c>
      <c r="C49" s="43">
        <f t="shared" si="10"/>
        <v>1.3340799999999999</v>
      </c>
      <c r="D49" s="43">
        <f t="shared" si="8"/>
        <v>1.3340799999999999</v>
      </c>
      <c r="E49" s="17">
        <f t="shared" si="9"/>
        <v>100</v>
      </c>
      <c r="F49" s="17"/>
      <c r="G49" s="17"/>
      <c r="H49" s="17"/>
      <c r="I49" s="17"/>
      <c r="J49" s="17">
        <v>1.3340799999999999</v>
      </c>
      <c r="K49" s="17">
        <v>1.3340799999999999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spans="1:29" ht="15.75" x14ac:dyDescent="0.2">
      <c r="A50" s="16" t="s">
        <v>92</v>
      </c>
      <c r="B50" s="10" t="s">
        <v>93</v>
      </c>
      <c r="C50" s="43">
        <f t="shared" si="10"/>
        <v>4.0000000000000001E-3</v>
      </c>
      <c r="D50" s="43">
        <f t="shared" si="8"/>
        <v>4.0000000000000001E-3</v>
      </c>
      <c r="E50" s="17">
        <f t="shared" si="9"/>
        <v>100</v>
      </c>
      <c r="F50" s="17">
        <v>1E-3</v>
      </c>
      <c r="G50" s="17">
        <v>1E-3</v>
      </c>
      <c r="H50" s="17">
        <v>3.0000000000000001E-3</v>
      </c>
      <c r="I50" s="17">
        <v>3.0000000000000001E-3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ht="47.25" x14ac:dyDescent="0.2">
      <c r="A51" s="16" t="s">
        <v>94</v>
      </c>
      <c r="B51" s="10" t="s">
        <v>95</v>
      </c>
      <c r="C51" s="43">
        <f t="shared" si="10"/>
        <v>0</v>
      </c>
      <c r="D51" s="43">
        <f t="shared" si="8"/>
        <v>0</v>
      </c>
      <c r="E51" s="17" t="e">
        <f t="shared" si="9"/>
        <v>#DIV/0!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ht="31.5" x14ac:dyDescent="0.2">
      <c r="A52" s="16" t="s">
        <v>96</v>
      </c>
      <c r="B52" s="10" t="s">
        <v>97</v>
      </c>
      <c r="C52" s="43">
        <f t="shared" si="10"/>
        <v>2.9598</v>
      </c>
      <c r="D52" s="43">
        <f t="shared" si="8"/>
        <v>2.9598</v>
      </c>
      <c r="E52" s="17">
        <f t="shared" si="9"/>
        <v>100</v>
      </c>
      <c r="F52" s="17"/>
      <c r="G52" s="17"/>
      <c r="H52" s="17"/>
      <c r="I52" s="17"/>
      <c r="J52" s="17"/>
      <c r="K52" s="17"/>
      <c r="L52" s="17"/>
      <c r="M52" s="17"/>
      <c r="N52" s="17">
        <v>2.9598</v>
      </c>
      <c r="O52" s="17">
        <v>2.9598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ht="47.25" x14ac:dyDescent="0.2">
      <c r="A53" s="16" t="s">
        <v>98</v>
      </c>
      <c r="B53" s="10" t="s">
        <v>99</v>
      </c>
      <c r="C53" s="43">
        <f t="shared" si="10"/>
        <v>0</v>
      </c>
      <c r="D53" s="43">
        <f t="shared" si="8"/>
        <v>0.76800000000000002</v>
      </c>
      <c r="E53" s="17" t="e">
        <f t="shared" si="9"/>
        <v>#DIV/0!</v>
      </c>
      <c r="F53" s="17"/>
      <c r="G53" s="17"/>
      <c r="H53" s="17"/>
      <c r="I53" s="17"/>
      <c r="J53" s="17"/>
      <c r="K53" s="17"/>
      <c r="L53" s="17"/>
      <c r="M53" s="17"/>
      <c r="N53" s="17"/>
      <c r="O53" s="17">
        <v>0.76800000000000002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ht="63" x14ac:dyDescent="0.2">
      <c r="A54" s="16" t="s">
        <v>98</v>
      </c>
      <c r="B54" s="10" t="s">
        <v>100</v>
      </c>
      <c r="C54" s="43">
        <f t="shared" si="10"/>
        <v>9</v>
      </c>
      <c r="D54" s="43">
        <f t="shared" si="8"/>
        <v>10.134</v>
      </c>
      <c r="E54" s="17">
        <f t="shared" si="9"/>
        <v>112.60000000000001</v>
      </c>
      <c r="F54" s="17">
        <v>3.7</v>
      </c>
      <c r="G54" s="17"/>
      <c r="H54" s="17">
        <v>5.3</v>
      </c>
      <c r="I54" s="17">
        <v>9.234</v>
      </c>
      <c r="J54" s="17"/>
      <c r="K54" s="17"/>
      <c r="L54" s="17"/>
      <c r="M54" s="17">
        <v>0.9</v>
      </c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spans="1:29" ht="28.5" customHeight="1" x14ac:dyDescent="0.2">
      <c r="A55" s="19" t="s">
        <v>101</v>
      </c>
      <c r="B55" s="7" t="s">
        <v>102</v>
      </c>
      <c r="C55" s="41">
        <f t="shared" si="10"/>
        <v>11.88</v>
      </c>
      <c r="D55" s="41">
        <f t="shared" si="10"/>
        <v>11.88</v>
      </c>
      <c r="E55" s="8">
        <f t="shared" si="9"/>
        <v>100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11.88</v>
      </c>
      <c r="S55" s="8">
        <v>0</v>
      </c>
      <c r="T55" s="8">
        <v>0</v>
      </c>
      <c r="U55" s="8">
        <v>0</v>
      </c>
      <c r="V55" s="8">
        <v>0</v>
      </c>
      <c r="W55" s="8">
        <v>11.88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</row>
    <row r="56" spans="1:29" ht="28.5" customHeight="1" x14ac:dyDescent="0.2">
      <c r="A56" s="19" t="s">
        <v>103</v>
      </c>
      <c r="B56" s="7" t="s">
        <v>128</v>
      </c>
      <c r="C56" s="41">
        <f>F56+H56+J56+L56+N56+P56+R56+T56+V56+X56+Z56+AB56</f>
        <v>1467.653</v>
      </c>
      <c r="D56" s="41">
        <f>G56+I56+K56+M56+O56+Q56+S56+U56+W56+Y56+AA56+AC56</f>
        <v>1448.2060099999999</v>
      </c>
      <c r="E56" s="8">
        <f t="shared" si="9"/>
        <v>98.674959953067926</v>
      </c>
      <c r="F56" s="8">
        <f t="shared" ref="F56:AC56" si="11">SUM(F58:F61)</f>
        <v>334.72399999999999</v>
      </c>
      <c r="G56" s="8">
        <f t="shared" si="11"/>
        <v>141.07733999999999</v>
      </c>
      <c r="H56" s="8">
        <f t="shared" si="11"/>
        <v>372.76099999999997</v>
      </c>
      <c r="I56" s="8">
        <f t="shared" si="11"/>
        <v>344.02451000000002</v>
      </c>
      <c r="J56" s="8">
        <f t="shared" si="11"/>
        <v>308.96800000000002</v>
      </c>
      <c r="K56" s="8">
        <f t="shared" si="11"/>
        <v>495.25324000000001</v>
      </c>
      <c r="L56" s="8">
        <f t="shared" si="11"/>
        <v>104.38799999999999</v>
      </c>
      <c r="M56" s="8">
        <f t="shared" si="11"/>
        <v>107.95582999999999</v>
      </c>
      <c r="N56" s="8">
        <f t="shared" si="11"/>
        <v>70</v>
      </c>
      <c r="O56" s="8">
        <f t="shared" si="11"/>
        <v>76.343279999999993</v>
      </c>
      <c r="P56" s="8">
        <f t="shared" si="11"/>
        <v>70.644999999999996</v>
      </c>
      <c r="Q56" s="8">
        <f t="shared" si="11"/>
        <v>73.241979999999998</v>
      </c>
      <c r="R56" s="8">
        <f t="shared" si="11"/>
        <v>61.476999999999997</v>
      </c>
      <c r="S56" s="8">
        <f t="shared" si="11"/>
        <v>72.658410000000003</v>
      </c>
      <c r="T56" s="8">
        <f t="shared" si="11"/>
        <v>69.69</v>
      </c>
      <c r="U56" s="8">
        <f t="shared" si="11"/>
        <v>66.526780000000002</v>
      </c>
      <c r="V56" s="8">
        <f t="shared" si="11"/>
        <v>75</v>
      </c>
      <c r="W56" s="8">
        <f t="shared" si="11"/>
        <v>71.124639999999999</v>
      </c>
      <c r="X56" s="8">
        <f t="shared" si="11"/>
        <v>0</v>
      </c>
      <c r="Y56" s="8">
        <f t="shared" si="11"/>
        <v>0</v>
      </c>
      <c r="Z56" s="8">
        <f t="shared" si="11"/>
        <v>0</v>
      </c>
      <c r="AA56" s="8">
        <f t="shared" si="11"/>
        <v>0</v>
      </c>
      <c r="AB56" s="8">
        <f t="shared" si="11"/>
        <v>0</v>
      </c>
      <c r="AC56" s="8">
        <f t="shared" si="11"/>
        <v>0</v>
      </c>
    </row>
    <row r="57" spans="1:29" ht="15.75" x14ac:dyDescent="0.2">
      <c r="A57" s="16"/>
      <c r="B57" s="10" t="s">
        <v>25</v>
      </c>
      <c r="C57" s="42"/>
      <c r="D57" s="42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>
        <v>61.476999999999997</v>
      </c>
      <c r="S57" s="13"/>
      <c r="T57" s="13">
        <v>69.69</v>
      </c>
      <c r="U57" s="13"/>
      <c r="V57" s="13">
        <v>75</v>
      </c>
      <c r="W57" s="13"/>
      <c r="X57" s="13"/>
      <c r="Y57" s="13"/>
      <c r="Z57" s="13"/>
      <c r="AA57" s="13"/>
      <c r="AB57" s="13"/>
      <c r="AC57" s="13"/>
    </row>
    <row r="58" spans="1:29" ht="15.75" x14ac:dyDescent="0.2">
      <c r="A58" s="16" t="s">
        <v>104</v>
      </c>
      <c r="B58" s="10" t="s">
        <v>105</v>
      </c>
      <c r="C58" s="43">
        <f>F58+H58+J58+L58+N58+P58+R58+T58+V58+X58+Z58+AB58</f>
        <v>206.75799999999998</v>
      </c>
      <c r="D58" s="43">
        <f>G58+I58+K58+M58+O58+Q58+S58+U58+W58+Y58+AA58+AC58</f>
        <v>199.51300999999998</v>
      </c>
      <c r="E58" s="17">
        <f t="shared" ref="E58:E63" si="12">D58/C58*100</f>
        <v>96.495908259898044</v>
      </c>
      <c r="F58" s="17">
        <v>45</v>
      </c>
      <c r="G58" s="17">
        <f>37.31674</f>
        <v>37.316740000000003</v>
      </c>
      <c r="H58" s="17">
        <v>45.396000000000001</v>
      </c>
      <c r="I58" s="17">
        <f>52.36726</f>
        <v>52.367260000000002</v>
      </c>
      <c r="J58" s="17">
        <v>111.896</v>
      </c>
      <c r="K58" s="17">
        <v>89.42295</v>
      </c>
      <c r="L58" s="17">
        <v>1.6759999999999999</v>
      </c>
      <c r="M58" s="17">
        <v>20.40606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2.79</v>
      </c>
      <c r="U58" s="17">
        <v>0</v>
      </c>
      <c r="V58" s="17">
        <v>0</v>
      </c>
      <c r="W58" s="17">
        <v>0</v>
      </c>
      <c r="X58" s="17"/>
      <c r="Y58" s="17"/>
      <c r="Z58" s="17"/>
      <c r="AA58" s="17"/>
      <c r="AB58" s="17"/>
      <c r="AC58" s="17"/>
    </row>
    <row r="59" spans="1:29" s="22" customFormat="1" ht="18" x14ac:dyDescent="0.25">
      <c r="A59" s="16" t="s">
        <v>106</v>
      </c>
      <c r="B59" s="10" t="s">
        <v>107</v>
      </c>
      <c r="C59" s="43">
        <f t="shared" ref="C59:D62" si="13">F59+H59+J59+L59+N59+P59+R59+T59+V59+X59+Z59+AB59</f>
        <v>154.66800000000001</v>
      </c>
      <c r="D59" s="43">
        <f>G59+I59+K59+M59+O59+Q59+S59+U59+W59+Y59+AA59+AC59</f>
        <v>154.5</v>
      </c>
      <c r="E59" s="17">
        <f t="shared" si="12"/>
        <v>99.891380246722008</v>
      </c>
      <c r="F59" s="17">
        <f>15</f>
        <v>15</v>
      </c>
      <c r="G59" s="17">
        <f>15.10241-0.11739</f>
        <v>14.98502</v>
      </c>
      <c r="H59" s="17">
        <f>15</f>
        <v>15</v>
      </c>
      <c r="I59" s="17">
        <f>15.92847-0.93061</f>
        <v>14.997860000000001</v>
      </c>
      <c r="J59" s="17">
        <v>23</v>
      </c>
      <c r="K59" s="17">
        <f>18.46547-0.30947</f>
        <v>18.155999999999999</v>
      </c>
      <c r="L59" s="17">
        <v>15</v>
      </c>
      <c r="M59" s="17">
        <v>16.416540000000001</v>
      </c>
      <c r="N59" s="17">
        <v>15</v>
      </c>
      <c r="O59" s="17">
        <v>10.18013</v>
      </c>
      <c r="P59" s="17">
        <v>15.167999999999999</v>
      </c>
      <c r="Q59" s="17">
        <v>18.738399999999999</v>
      </c>
      <c r="R59" s="17">
        <v>15</v>
      </c>
      <c r="S59" s="21">
        <v>19.504270000000002</v>
      </c>
      <c r="T59" s="17">
        <v>21.5</v>
      </c>
      <c r="U59" s="17">
        <v>21.507259999999999</v>
      </c>
      <c r="V59" s="17">
        <v>20</v>
      </c>
      <c r="W59" s="17">
        <v>20.014520000000001</v>
      </c>
      <c r="X59" s="17"/>
      <c r="Y59" s="17"/>
      <c r="Z59" s="17"/>
      <c r="AA59" s="17"/>
      <c r="AB59" s="17"/>
      <c r="AC59" s="17"/>
    </row>
    <row r="60" spans="1:29" s="22" customFormat="1" ht="18" x14ac:dyDescent="0.25">
      <c r="A60" s="16" t="s">
        <v>108</v>
      </c>
      <c r="B60" s="10" t="s">
        <v>109</v>
      </c>
      <c r="C60" s="43">
        <f t="shared" si="13"/>
        <v>578.54899999999998</v>
      </c>
      <c r="D60" s="43">
        <f>G60+I60+K60+M60+O60+Q60+S60+U60+W60+Y60+AA60+AC60</f>
        <v>568.53451000000007</v>
      </c>
      <c r="E60" s="17">
        <f t="shared" si="12"/>
        <v>98.269033392158676</v>
      </c>
      <c r="F60" s="17">
        <v>97</v>
      </c>
      <c r="G60" s="17">
        <f>94.43981-5.66423</f>
        <v>88.775579999999991</v>
      </c>
      <c r="H60" s="17">
        <v>97.364999999999995</v>
      </c>
      <c r="I60" s="17">
        <f>124.3675-38.97381</f>
        <v>85.393690000000007</v>
      </c>
      <c r="J60" s="17">
        <v>60.51</v>
      </c>
      <c r="K60" s="17">
        <f>86.94542-12.17582</f>
        <v>74.769599999999997</v>
      </c>
      <c r="L60" s="17">
        <v>66.319999999999993</v>
      </c>
      <c r="M60" s="17">
        <v>71.133229999999998</v>
      </c>
      <c r="N60" s="17">
        <v>55</v>
      </c>
      <c r="O60" s="17">
        <v>44.771900000000002</v>
      </c>
      <c r="P60" s="17">
        <v>55.476999999999997</v>
      </c>
      <c r="Q60" s="17">
        <v>54.503579999999999</v>
      </c>
      <c r="R60" s="17">
        <v>46.476999999999997</v>
      </c>
      <c r="S60" s="21">
        <v>53.154139999999998</v>
      </c>
      <c r="T60" s="17">
        <v>45.4</v>
      </c>
      <c r="U60" s="17">
        <v>44.922669999999997</v>
      </c>
      <c r="V60" s="17">
        <v>55</v>
      </c>
      <c r="W60" s="17">
        <v>51.110120000000002</v>
      </c>
      <c r="X60" s="17"/>
      <c r="Y60" s="17"/>
      <c r="Z60" s="17"/>
      <c r="AA60" s="17"/>
      <c r="AB60" s="17"/>
      <c r="AC60" s="17"/>
    </row>
    <row r="61" spans="1:29" s="22" customFormat="1" ht="18" x14ac:dyDescent="0.25">
      <c r="A61" s="16" t="s">
        <v>110</v>
      </c>
      <c r="B61" s="10" t="s">
        <v>111</v>
      </c>
      <c r="C61" s="43">
        <f t="shared" si="13"/>
        <v>527.678</v>
      </c>
      <c r="D61" s="43">
        <f>G61+I61+K61+M61+O61+Q61+S61+U61+W61+Y61+AA61+AC61</f>
        <v>525.65849000000003</v>
      </c>
      <c r="E61" s="17">
        <f t="shared" si="12"/>
        <v>99.61728364646622</v>
      </c>
      <c r="F61" s="17">
        <v>177.72399999999999</v>
      </c>
      <c r="G61" s="17">
        <v>0</v>
      </c>
      <c r="H61" s="17">
        <v>215</v>
      </c>
      <c r="I61" s="17">
        <f>191.2657</f>
        <v>191.26570000000001</v>
      </c>
      <c r="J61" s="17">
        <v>113.562</v>
      </c>
      <c r="K61" s="17">
        <v>312.90469000000002</v>
      </c>
      <c r="L61" s="17">
        <v>21.391999999999999</v>
      </c>
      <c r="M61" s="17">
        <v>0</v>
      </c>
      <c r="N61" s="17">
        <v>0</v>
      </c>
      <c r="O61" s="17">
        <v>21.391249999999999</v>
      </c>
      <c r="P61" s="17">
        <v>0</v>
      </c>
      <c r="Q61" s="17">
        <v>0</v>
      </c>
      <c r="R61" s="17">
        <v>0</v>
      </c>
      <c r="S61" s="17">
        <v>0</v>
      </c>
      <c r="T61" s="17"/>
      <c r="U61" s="17">
        <v>9.6850000000000006E-2</v>
      </c>
      <c r="V61" s="17">
        <v>0</v>
      </c>
      <c r="W61" s="17">
        <v>0</v>
      </c>
      <c r="X61" s="17"/>
      <c r="Y61" s="17"/>
      <c r="Z61" s="17"/>
      <c r="AA61" s="17"/>
      <c r="AB61" s="17"/>
      <c r="AC61" s="17"/>
    </row>
    <row r="62" spans="1:29" s="22" customFormat="1" ht="69.75" customHeight="1" x14ac:dyDescent="0.25">
      <c r="A62" s="19" t="s">
        <v>112</v>
      </c>
      <c r="B62" s="7" t="s">
        <v>113</v>
      </c>
      <c r="C62" s="41">
        <f t="shared" si="13"/>
        <v>11.120000000000001</v>
      </c>
      <c r="D62" s="41">
        <f t="shared" si="13"/>
        <v>10.7776</v>
      </c>
      <c r="E62" s="8">
        <f t="shared" si="12"/>
        <v>96.920863309352498</v>
      </c>
      <c r="F62" s="8">
        <v>0</v>
      </c>
      <c r="G62" s="8">
        <v>0</v>
      </c>
      <c r="H62" s="8">
        <v>0</v>
      </c>
      <c r="I62" s="8">
        <v>0</v>
      </c>
      <c r="J62" s="8">
        <v>0.6</v>
      </c>
      <c r="K62" s="8">
        <v>0</v>
      </c>
      <c r="L62" s="8">
        <v>1.4</v>
      </c>
      <c r="M62" s="8">
        <v>0.66</v>
      </c>
      <c r="N62" s="8">
        <v>0</v>
      </c>
      <c r="O62" s="8">
        <v>0.91120000000000001</v>
      </c>
      <c r="P62" s="8">
        <v>0</v>
      </c>
      <c r="Q62" s="8">
        <v>0.33</v>
      </c>
      <c r="R62" s="8">
        <v>5.12</v>
      </c>
      <c r="S62" s="8">
        <v>0</v>
      </c>
      <c r="T62" s="8">
        <v>4</v>
      </c>
      <c r="U62" s="8">
        <v>0.28000000000000003</v>
      </c>
      <c r="V62" s="8">
        <v>0</v>
      </c>
      <c r="W62" s="8">
        <v>8.5963999999999992</v>
      </c>
      <c r="X62" s="8"/>
      <c r="Y62" s="8"/>
      <c r="Z62" s="8"/>
      <c r="AA62" s="8"/>
      <c r="AB62" s="8"/>
      <c r="AC62" s="8"/>
    </row>
    <row r="63" spans="1:29" s="22" customFormat="1" ht="18" x14ac:dyDescent="0.25">
      <c r="A63" s="19" t="s">
        <v>114</v>
      </c>
      <c r="B63" s="7" t="s">
        <v>115</v>
      </c>
      <c r="C63" s="41">
        <f>F63+H63+J63+L63+N63+P63+R63+T63+V63+X63+Z63+AB63</f>
        <v>152.19</v>
      </c>
      <c r="D63" s="41">
        <f>G63+I63+K63+M63+O63+Q63+S63+U63+W63+Y63+AA63+AC63</f>
        <v>152.18883</v>
      </c>
      <c r="E63" s="8">
        <f t="shared" si="12"/>
        <v>99.99923122412774</v>
      </c>
      <c r="F63" s="8">
        <f t="shared" ref="F63:AC63" si="14">SUM(F65:F66)</f>
        <v>16</v>
      </c>
      <c r="G63" s="8">
        <f t="shared" si="14"/>
        <v>16</v>
      </c>
      <c r="H63" s="8">
        <f t="shared" si="14"/>
        <v>16</v>
      </c>
      <c r="I63" s="8">
        <f t="shared" si="14"/>
        <v>16</v>
      </c>
      <c r="J63" s="8">
        <f t="shared" si="14"/>
        <v>16</v>
      </c>
      <c r="K63" s="8">
        <f t="shared" si="14"/>
        <v>16</v>
      </c>
      <c r="L63" s="8">
        <f t="shared" si="14"/>
        <v>16</v>
      </c>
      <c r="M63" s="8">
        <f t="shared" si="14"/>
        <v>16</v>
      </c>
      <c r="N63" s="8">
        <f t="shared" si="14"/>
        <v>16</v>
      </c>
      <c r="O63" s="8">
        <f t="shared" si="14"/>
        <v>16</v>
      </c>
      <c r="P63" s="8">
        <f t="shared" si="14"/>
        <v>16</v>
      </c>
      <c r="Q63" s="8">
        <f t="shared" si="14"/>
        <v>16</v>
      </c>
      <c r="R63" s="8">
        <f t="shared" si="14"/>
        <v>24.189999999999998</v>
      </c>
      <c r="S63" s="8">
        <f t="shared" si="14"/>
        <v>24.188829999999999</v>
      </c>
      <c r="T63" s="8">
        <f t="shared" si="14"/>
        <v>16</v>
      </c>
      <c r="U63" s="8">
        <f t="shared" si="14"/>
        <v>16</v>
      </c>
      <c r="V63" s="8">
        <f t="shared" si="14"/>
        <v>16</v>
      </c>
      <c r="W63" s="8">
        <f t="shared" si="14"/>
        <v>16</v>
      </c>
      <c r="X63" s="8">
        <f t="shared" si="14"/>
        <v>0</v>
      </c>
      <c r="Y63" s="8">
        <f t="shared" si="14"/>
        <v>0</v>
      </c>
      <c r="Z63" s="8">
        <f t="shared" si="14"/>
        <v>0</v>
      </c>
      <c r="AA63" s="8">
        <f t="shared" si="14"/>
        <v>0</v>
      </c>
      <c r="AB63" s="8">
        <f t="shared" si="14"/>
        <v>0</v>
      </c>
      <c r="AC63" s="8">
        <f t="shared" si="14"/>
        <v>0</v>
      </c>
    </row>
    <row r="64" spans="1:29" s="22" customFormat="1" ht="18" x14ac:dyDescent="0.25">
      <c r="A64" s="16"/>
      <c r="B64" s="10" t="s">
        <v>25</v>
      </c>
      <c r="C64" s="42"/>
      <c r="D64" s="42"/>
      <c r="E64" s="20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s="22" customFormat="1" ht="31.5" x14ac:dyDescent="0.25">
      <c r="A65" s="16" t="s">
        <v>116</v>
      </c>
      <c r="B65" s="10" t="s">
        <v>117</v>
      </c>
      <c r="C65" s="43">
        <f t="shared" ref="C65:D67" si="15">F65+H65+J65+L65+N65+P65+R65+T65+V65+X65+Z65+AB65</f>
        <v>144</v>
      </c>
      <c r="D65" s="43">
        <f t="shared" si="15"/>
        <v>144</v>
      </c>
      <c r="E65" s="17">
        <f>D65/C65*100</f>
        <v>100</v>
      </c>
      <c r="F65" s="17">
        <v>16</v>
      </c>
      <c r="G65" s="17">
        <v>16</v>
      </c>
      <c r="H65" s="17">
        <v>16</v>
      </c>
      <c r="I65" s="17">
        <v>16</v>
      </c>
      <c r="J65" s="17">
        <v>16</v>
      </c>
      <c r="K65" s="17">
        <v>16</v>
      </c>
      <c r="L65" s="17">
        <v>16</v>
      </c>
      <c r="M65" s="17">
        <v>16</v>
      </c>
      <c r="N65" s="17">
        <v>16</v>
      </c>
      <c r="O65" s="17">
        <v>16</v>
      </c>
      <c r="P65" s="17">
        <v>16</v>
      </c>
      <c r="Q65" s="17">
        <v>16</v>
      </c>
      <c r="R65" s="17">
        <v>16</v>
      </c>
      <c r="S65" s="17">
        <v>16</v>
      </c>
      <c r="T65" s="17">
        <v>16</v>
      </c>
      <c r="U65" s="17">
        <v>16</v>
      </c>
      <c r="V65" s="17">
        <v>16</v>
      </c>
      <c r="W65" s="17">
        <v>16</v>
      </c>
      <c r="X65" s="17"/>
      <c r="Y65" s="17"/>
      <c r="Z65" s="17"/>
      <c r="AA65" s="17"/>
      <c r="AB65" s="17"/>
      <c r="AC65" s="17"/>
    </row>
    <row r="66" spans="1:29" s="22" customFormat="1" ht="18" x14ac:dyDescent="0.25">
      <c r="A66" s="16" t="s">
        <v>118</v>
      </c>
      <c r="B66" s="10" t="s">
        <v>119</v>
      </c>
      <c r="C66" s="43">
        <f t="shared" si="15"/>
        <v>8.19</v>
      </c>
      <c r="D66" s="43">
        <f t="shared" si="15"/>
        <v>8.1888299999999994</v>
      </c>
      <c r="E66" s="17">
        <f>D66/C66*100</f>
        <v>99.985714285714295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8.19</v>
      </c>
      <c r="S66" s="17">
        <v>8.1888299999999994</v>
      </c>
      <c r="T66" s="17">
        <v>0</v>
      </c>
      <c r="U66" s="17">
        <v>0</v>
      </c>
      <c r="V66" s="17">
        <v>0</v>
      </c>
      <c r="W66" s="17">
        <v>0</v>
      </c>
      <c r="X66" s="17"/>
      <c r="Y66" s="17"/>
      <c r="Z66" s="17"/>
      <c r="AA66" s="17"/>
      <c r="AB66" s="17"/>
      <c r="AC66" s="17"/>
    </row>
    <row r="67" spans="1:29" s="22" customFormat="1" ht="18" x14ac:dyDescent="0.25">
      <c r="A67" s="19" t="s">
        <v>120</v>
      </c>
      <c r="B67" s="7" t="s">
        <v>121</v>
      </c>
      <c r="C67" s="41">
        <f t="shared" si="15"/>
        <v>1.2</v>
      </c>
      <c r="D67" s="41">
        <f t="shared" si="15"/>
        <v>0.82033</v>
      </c>
      <c r="E67" s="8">
        <f>D67/C67*100</f>
        <v>68.360833333333332</v>
      </c>
      <c r="F67" s="8">
        <v>0</v>
      </c>
      <c r="G67" s="8"/>
      <c r="H67" s="8">
        <v>0</v>
      </c>
      <c r="I67" s="8"/>
      <c r="J67" s="8">
        <v>1.2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23">
        <v>0</v>
      </c>
      <c r="R67" s="8">
        <v>0</v>
      </c>
      <c r="S67" s="23">
        <v>0.82033</v>
      </c>
      <c r="T67" s="8"/>
      <c r="U67" s="23"/>
      <c r="V67" s="8"/>
      <c r="W67" s="23"/>
      <c r="X67" s="8"/>
      <c r="Y67" s="23"/>
      <c r="Z67" s="8"/>
      <c r="AA67" s="23"/>
      <c r="AB67" s="8"/>
      <c r="AC67" s="23"/>
    </row>
    <row r="68" spans="1:29" s="22" customFormat="1" ht="36" customHeight="1" x14ac:dyDescent="0.25">
      <c r="A68" s="16"/>
      <c r="B68" s="24" t="s">
        <v>122</v>
      </c>
      <c r="C68" s="25">
        <f t="shared" ref="C68:AC68" si="16">C9+C10+C11+C22+C32+C33+C55+C56+C62+C63+C67</f>
        <v>25727.955009999998</v>
      </c>
      <c r="D68" s="25">
        <f t="shared" si="16"/>
        <v>25172.24365</v>
      </c>
      <c r="E68" s="44">
        <f>D68/C68*100</f>
        <v>97.840048461745198</v>
      </c>
      <c r="F68" s="26">
        <f t="shared" si="16"/>
        <v>2804.4654099999998</v>
      </c>
      <c r="G68" s="26">
        <f t="shared" si="16"/>
        <v>2498.3273399999998</v>
      </c>
      <c r="H68" s="26">
        <f t="shared" si="16"/>
        <v>2850.9433300000001</v>
      </c>
      <c r="I68" s="26">
        <f t="shared" si="16"/>
        <v>2770.5907200000001</v>
      </c>
      <c r="J68" s="26">
        <f t="shared" si="16"/>
        <v>2812.6067799999992</v>
      </c>
      <c r="K68" s="26">
        <f t="shared" si="16"/>
        <v>3093.1299799999997</v>
      </c>
      <c r="L68" s="26">
        <f t="shared" si="16"/>
        <v>2903.61483</v>
      </c>
      <c r="M68" s="26">
        <f t="shared" si="16"/>
        <v>2796.1911799999998</v>
      </c>
      <c r="N68" s="26">
        <f t="shared" si="16"/>
        <v>2816.2067699999998</v>
      </c>
      <c r="O68" s="26">
        <f t="shared" si="16"/>
        <v>2821.1646599999999</v>
      </c>
      <c r="P68" s="26">
        <f t="shared" si="16"/>
        <v>2848.7568799999999</v>
      </c>
      <c r="Q68" s="26">
        <f t="shared" si="16"/>
        <v>2855.9436299999998</v>
      </c>
      <c r="R68" s="26">
        <f t="shared" si="16"/>
        <v>3018.6480100000003</v>
      </c>
      <c r="S68" s="26">
        <f>S9+S10+S11+S22+S32+S33+S55+S56+S62+S63+S67</f>
        <v>3074.7891900000009</v>
      </c>
      <c r="T68" s="26">
        <f t="shared" si="16"/>
        <v>3060.4780000000001</v>
      </c>
      <c r="U68" s="26">
        <f t="shared" si="16"/>
        <v>2621.0336600000005</v>
      </c>
      <c r="V68" s="26">
        <f t="shared" si="16"/>
        <v>2612.2350000000001</v>
      </c>
      <c r="W68" s="26">
        <f t="shared" si="16"/>
        <v>2641.0734400000001</v>
      </c>
      <c r="X68" s="26">
        <f t="shared" si="16"/>
        <v>0</v>
      </c>
      <c r="Y68" s="26">
        <f t="shared" si="16"/>
        <v>-5.0000000000000002E-5</v>
      </c>
      <c r="Z68" s="26">
        <f t="shared" si="16"/>
        <v>0</v>
      </c>
      <c r="AA68" s="26">
        <f t="shared" si="16"/>
        <v>-5.0000000000000002E-5</v>
      </c>
      <c r="AB68" s="26">
        <f t="shared" si="16"/>
        <v>0</v>
      </c>
      <c r="AC68" s="26">
        <f t="shared" si="16"/>
        <v>-5.0000000000000002E-5</v>
      </c>
    </row>
    <row r="69" spans="1:29" s="22" customFormat="1" ht="18" x14ac:dyDescent="0.25">
      <c r="A69" s="2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29" s="22" customFormat="1" ht="18.75" x14ac:dyDescent="0.3">
      <c r="A70" s="27"/>
      <c r="B70" s="4" t="s">
        <v>123</v>
      </c>
      <c r="C70" s="28"/>
      <c r="D70" s="1"/>
      <c r="E70" s="29"/>
      <c r="F70" s="1"/>
      <c r="G70" s="4" t="s">
        <v>124</v>
      </c>
      <c r="H70" s="1"/>
      <c r="I70" s="1"/>
      <c r="J70" s="1"/>
      <c r="K70" s="1"/>
      <c r="M70" s="30"/>
      <c r="Q70" s="31"/>
      <c r="S70" s="31"/>
      <c r="U70" s="31"/>
      <c r="W70" s="31"/>
      <c r="Y70" s="31"/>
      <c r="AA70" s="31"/>
      <c r="AC70" s="31"/>
    </row>
    <row r="71" spans="1:29" s="22" customFormat="1" ht="16.5" customHeight="1" x14ac:dyDescent="0.25">
      <c r="A71" s="27"/>
      <c r="B71" s="1"/>
      <c r="C71" s="1"/>
      <c r="D71" s="1"/>
      <c r="E71" s="32" t="s">
        <v>125</v>
      </c>
      <c r="F71" s="1"/>
      <c r="G71" s="1"/>
      <c r="H71" s="1"/>
      <c r="I71" s="1"/>
      <c r="J71" s="1"/>
      <c r="K71" s="1"/>
    </row>
    <row r="72" spans="1:29" s="22" customFormat="1" ht="18" x14ac:dyDescent="0.25">
      <c r="A72" s="2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29" s="22" customFormat="1" ht="18" x14ac:dyDescent="0.25">
      <c r="A73" s="2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29" s="22" customFormat="1" ht="38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29" s="22" customFormat="1" ht="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29" s="22" customFormat="1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29" s="22" customFormat="1" ht="18" x14ac:dyDescent="0.25">
      <c r="A77"/>
      <c r="B77" s="33"/>
      <c r="C77" s="33"/>
      <c r="D77" s="33"/>
      <c r="E77" s="33"/>
      <c r="F77" s="33"/>
      <c r="G77" s="33"/>
      <c r="H77" s="33"/>
      <c r="I77" s="33"/>
      <c r="J77" s="33"/>
      <c r="K77"/>
    </row>
    <row r="78" spans="1:29" s="22" customFormat="1" ht="18" x14ac:dyDescent="0.25">
      <c r="A78"/>
      <c r="B78" s="33"/>
      <c r="C78" s="33"/>
      <c r="D78" s="33"/>
      <c r="E78" s="33"/>
      <c r="F78" s="33"/>
      <c r="G78" s="33"/>
      <c r="H78" s="33"/>
      <c r="I78" s="33"/>
      <c r="J78" s="33"/>
      <c r="K78"/>
    </row>
    <row r="79" spans="1:29" s="22" customFormat="1" ht="18" x14ac:dyDescent="0.25">
      <c r="A79"/>
      <c r="B79" s="33"/>
      <c r="C79" s="33"/>
      <c r="D79" s="33"/>
      <c r="E79" s="33"/>
      <c r="F79" s="33"/>
      <c r="G79" s="33"/>
      <c r="H79" s="33"/>
      <c r="I79" s="33"/>
      <c r="J79" s="33"/>
      <c r="K79"/>
    </row>
    <row r="80" spans="1:29" x14ac:dyDescent="0.2">
      <c r="B80" s="33"/>
      <c r="C80" s="33"/>
      <c r="D80" s="33"/>
      <c r="E80" s="33"/>
      <c r="F80" s="33"/>
      <c r="G80" s="33"/>
      <c r="H80" s="33"/>
      <c r="I80" s="33"/>
      <c r="J80" s="33"/>
    </row>
    <row r="81" spans="2:10" x14ac:dyDescent="0.2">
      <c r="B81" s="33"/>
      <c r="C81" s="33"/>
      <c r="D81" s="33"/>
      <c r="E81" s="33"/>
      <c r="F81" s="33"/>
      <c r="G81" s="33"/>
      <c r="H81" s="33"/>
      <c r="I81" s="33"/>
      <c r="J81" s="33"/>
    </row>
    <row r="82" spans="2:10" x14ac:dyDescent="0.2">
      <c r="B82" s="33"/>
      <c r="C82" s="33"/>
      <c r="D82" s="33"/>
      <c r="E82" s="33"/>
      <c r="F82" s="33"/>
      <c r="G82" s="33"/>
      <c r="H82" s="33"/>
      <c r="I82" s="33"/>
      <c r="J82" s="33"/>
    </row>
    <row r="83" spans="2:10" x14ac:dyDescent="0.2">
      <c r="B83" s="33"/>
      <c r="C83" s="33"/>
      <c r="D83" s="33"/>
      <c r="E83" s="33"/>
      <c r="F83" s="33"/>
      <c r="G83" s="33"/>
      <c r="H83" s="33"/>
      <c r="I83" s="33"/>
      <c r="J83" s="33"/>
    </row>
    <row r="84" spans="2:10" x14ac:dyDescent="0.2">
      <c r="B84" s="33"/>
      <c r="C84" s="33"/>
      <c r="D84" s="33"/>
      <c r="E84" s="33"/>
      <c r="F84" s="33"/>
      <c r="G84" s="33"/>
      <c r="H84" s="33"/>
      <c r="I84" s="33"/>
      <c r="J84" s="33"/>
    </row>
    <row r="85" spans="2:10" x14ac:dyDescent="0.2">
      <c r="B85" s="33"/>
      <c r="C85" s="33"/>
      <c r="D85" s="33"/>
      <c r="E85" s="33"/>
      <c r="F85" s="33"/>
      <c r="G85" s="33"/>
      <c r="H85" s="33"/>
      <c r="I85" s="33"/>
      <c r="J85" s="33"/>
    </row>
    <row r="86" spans="2:10" x14ac:dyDescent="0.2">
      <c r="B86" s="33"/>
      <c r="C86" s="33"/>
      <c r="D86" s="33"/>
      <c r="E86" s="33"/>
      <c r="F86" s="33"/>
      <c r="G86" s="33"/>
      <c r="H86" s="33"/>
      <c r="I86" s="33"/>
      <c r="J86" s="33"/>
    </row>
    <row r="87" spans="2:10" x14ac:dyDescent="0.2">
      <c r="B87" s="33"/>
      <c r="C87" s="33"/>
      <c r="D87" s="33"/>
      <c r="E87" s="33"/>
      <c r="F87" s="33"/>
      <c r="G87" s="33"/>
      <c r="H87" s="33"/>
      <c r="I87" s="33"/>
      <c r="J87" s="33"/>
    </row>
    <row r="88" spans="2:10" x14ac:dyDescent="0.2">
      <c r="B88" s="33"/>
      <c r="C88" s="33"/>
      <c r="D88" s="33"/>
      <c r="E88" s="33"/>
      <c r="F88" s="33"/>
      <c r="G88" s="33"/>
      <c r="H88" s="33"/>
      <c r="I88" s="33"/>
      <c r="J88" s="33"/>
    </row>
    <row r="89" spans="2:10" x14ac:dyDescent="0.2">
      <c r="B89" s="33"/>
      <c r="C89" s="33"/>
      <c r="D89" s="33"/>
      <c r="E89" s="33"/>
      <c r="F89" s="33"/>
      <c r="G89" s="33"/>
      <c r="H89" s="33"/>
      <c r="I89" s="33"/>
      <c r="J89" s="33"/>
    </row>
    <row r="90" spans="2:10" x14ac:dyDescent="0.2">
      <c r="B90" s="33"/>
      <c r="C90" s="33"/>
      <c r="D90" s="33"/>
      <c r="E90" s="33"/>
      <c r="F90" s="33"/>
      <c r="G90" s="33"/>
      <c r="H90" s="33"/>
      <c r="I90" s="33"/>
      <c r="J90" s="33"/>
    </row>
    <row r="91" spans="2:10" x14ac:dyDescent="0.2">
      <c r="B91" s="33"/>
      <c r="C91" s="33"/>
      <c r="D91" s="33"/>
      <c r="E91" s="33"/>
      <c r="F91" s="33"/>
      <c r="G91" s="33"/>
      <c r="H91" s="33"/>
      <c r="I91" s="33"/>
      <c r="J91" s="33"/>
    </row>
    <row r="92" spans="2:10" x14ac:dyDescent="0.2">
      <c r="B92" s="33"/>
      <c r="C92" s="33"/>
      <c r="D92" s="33"/>
      <c r="E92" s="33"/>
      <c r="F92" s="33"/>
      <c r="G92" s="33"/>
      <c r="H92" s="33"/>
      <c r="I92" s="33"/>
      <c r="J92" s="33"/>
    </row>
    <row r="93" spans="2:10" x14ac:dyDescent="0.2">
      <c r="B93" s="33"/>
      <c r="C93" s="33"/>
      <c r="D93" s="33"/>
      <c r="E93" s="33"/>
      <c r="F93" s="33"/>
      <c r="G93" s="33"/>
      <c r="H93" s="33"/>
      <c r="I93" s="33"/>
      <c r="J93" s="33"/>
    </row>
    <row r="94" spans="2:10" x14ac:dyDescent="0.2">
      <c r="B94" s="33"/>
      <c r="C94" s="33"/>
      <c r="D94" s="33"/>
      <c r="E94" s="33"/>
      <c r="F94" s="33"/>
      <c r="G94" s="33"/>
      <c r="H94" s="33"/>
      <c r="I94" s="33"/>
      <c r="J94" s="33"/>
    </row>
    <row r="95" spans="2:10" x14ac:dyDescent="0.2">
      <c r="B95" s="33"/>
      <c r="C95" s="33"/>
      <c r="D95" s="33"/>
      <c r="E95" s="33"/>
      <c r="F95" s="33"/>
      <c r="G95" s="33"/>
      <c r="H95" s="33"/>
      <c r="I95" s="33"/>
      <c r="J95" s="33"/>
    </row>
    <row r="96" spans="2:10" x14ac:dyDescent="0.2">
      <c r="B96" s="33"/>
      <c r="C96" s="33"/>
      <c r="D96" s="33"/>
      <c r="E96" s="33"/>
      <c r="F96" s="33"/>
      <c r="G96" s="33"/>
      <c r="H96" s="33"/>
      <c r="I96" s="33"/>
      <c r="J96" s="33"/>
    </row>
    <row r="97" spans="2:10" x14ac:dyDescent="0.2">
      <c r="B97" s="33"/>
      <c r="C97" s="33"/>
      <c r="D97" s="33"/>
      <c r="E97" s="33"/>
      <c r="F97" s="33"/>
      <c r="G97" s="33"/>
      <c r="H97" s="33"/>
      <c r="I97" s="33"/>
      <c r="J97" s="33"/>
    </row>
    <row r="98" spans="2:10" x14ac:dyDescent="0.2">
      <c r="B98" s="33"/>
      <c r="C98" s="33"/>
      <c r="D98" s="33"/>
      <c r="E98" s="33"/>
      <c r="F98" s="33"/>
      <c r="G98" s="33"/>
      <c r="H98" s="33"/>
      <c r="I98" s="33"/>
      <c r="J98" s="33"/>
    </row>
    <row r="99" spans="2:10" x14ac:dyDescent="0.2">
      <c r="B99" s="33"/>
      <c r="C99" s="33"/>
      <c r="D99" s="33"/>
      <c r="E99" s="33"/>
      <c r="F99" s="33"/>
      <c r="G99" s="33"/>
      <c r="H99" s="33"/>
      <c r="I99" s="33"/>
      <c r="J99" s="33"/>
    </row>
    <row r="100" spans="2:10" x14ac:dyDescent="0.2"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2:10" x14ac:dyDescent="0.2"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2:10" x14ac:dyDescent="0.2"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2:10" x14ac:dyDescent="0.2"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2:10" x14ac:dyDescent="0.2"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2:10" x14ac:dyDescent="0.2"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2:10" x14ac:dyDescent="0.2"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2:10" x14ac:dyDescent="0.2"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2:10" x14ac:dyDescent="0.2">
      <c r="B108" s="33"/>
      <c r="C108" s="33"/>
      <c r="D108" s="33"/>
      <c r="E108" s="33"/>
      <c r="F108" s="33"/>
      <c r="G108" s="33"/>
      <c r="H108" s="33"/>
      <c r="I108" s="33"/>
      <c r="J108" s="33"/>
    </row>
    <row r="109" spans="2:10" x14ac:dyDescent="0.2"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2:10" x14ac:dyDescent="0.2">
      <c r="B110" s="33"/>
      <c r="C110" s="33"/>
      <c r="D110" s="33"/>
      <c r="E110" s="33"/>
      <c r="F110" s="33"/>
      <c r="G110" s="33"/>
      <c r="H110" s="33"/>
      <c r="I110" s="33"/>
      <c r="J110" s="33"/>
    </row>
    <row r="111" spans="2:10" x14ac:dyDescent="0.2">
      <c r="B111" s="33"/>
      <c r="C111" s="33"/>
      <c r="D111" s="33"/>
      <c r="E111" s="33"/>
      <c r="F111" s="33"/>
      <c r="G111" s="33"/>
      <c r="H111" s="33"/>
      <c r="I111" s="33"/>
      <c r="J111" s="33"/>
    </row>
    <row r="112" spans="2:10" x14ac:dyDescent="0.2">
      <c r="B112" s="33"/>
      <c r="C112" s="33"/>
      <c r="D112" s="33"/>
      <c r="E112" s="33"/>
      <c r="F112" s="33"/>
      <c r="G112" s="33"/>
      <c r="H112" s="33"/>
      <c r="I112" s="33"/>
      <c r="J112" s="33"/>
    </row>
    <row r="113" spans="2:10" x14ac:dyDescent="0.2">
      <c r="B113" s="33"/>
      <c r="C113" s="33"/>
      <c r="D113" s="33"/>
      <c r="E113" s="33"/>
      <c r="F113" s="33"/>
      <c r="G113" s="33"/>
      <c r="H113" s="33"/>
      <c r="I113" s="33"/>
      <c r="J113" s="33"/>
    </row>
    <row r="114" spans="2:10" x14ac:dyDescent="0.2">
      <c r="B114" s="33"/>
      <c r="C114" s="33"/>
      <c r="D114" s="33"/>
      <c r="E114" s="33"/>
      <c r="F114" s="33"/>
      <c r="G114" s="33"/>
      <c r="H114" s="33"/>
      <c r="I114" s="33"/>
      <c r="J114" s="33"/>
    </row>
    <row r="115" spans="2:10" x14ac:dyDescent="0.2">
      <c r="B115" s="33"/>
      <c r="C115" s="33"/>
      <c r="D115" s="33"/>
      <c r="E115" s="33"/>
      <c r="F115" s="33"/>
      <c r="G115" s="33"/>
      <c r="H115" s="33"/>
      <c r="I115" s="33"/>
      <c r="J115" s="33"/>
    </row>
    <row r="116" spans="2:10" x14ac:dyDescent="0.2">
      <c r="B116" s="33"/>
      <c r="C116" s="33"/>
      <c r="D116" s="33"/>
      <c r="E116" s="33"/>
      <c r="F116" s="33"/>
      <c r="G116" s="33"/>
      <c r="H116" s="33"/>
      <c r="I116" s="33"/>
      <c r="J116" s="33"/>
    </row>
    <row r="117" spans="2:10" x14ac:dyDescent="0.2">
      <c r="B117" s="33"/>
      <c r="C117" s="33"/>
      <c r="D117" s="33"/>
      <c r="E117" s="33"/>
      <c r="F117" s="33"/>
      <c r="G117" s="33"/>
      <c r="H117" s="33"/>
      <c r="I117" s="33"/>
      <c r="J117" s="33"/>
    </row>
    <row r="118" spans="2:10" x14ac:dyDescent="0.2">
      <c r="B118" s="33"/>
      <c r="C118" s="33"/>
      <c r="D118" s="33"/>
      <c r="E118" s="33"/>
      <c r="F118" s="33"/>
      <c r="G118" s="33"/>
      <c r="H118" s="33"/>
      <c r="I118" s="33"/>
      <c r="J118" s="33"/>
    </row>
    <row r="119" spans="2:10" x14ac:dyDescent="0.2">
      <c r="B119" s="33"/>
      <c r="C119" s="33"/>
      <c r="D119" s="33"/>
      <c r="E119" s="33"/>
      <c r="F119" s="33"/>
      <c r="G119" s="33"/>
      <c r="H119" s="33"/>
      <c r="I119" s="33"/>
      <c r="J119" s="33"/>
    </row>
    <row r="120" spans="2:10" x14ac:dyDescent="0.2">
      <c r="B120" s="33"/>
      <c r="C120" s="33"/>
      <c r="D120" s="33"/>
      <c r="E120" s="33"/>
      <c r="F120" s="33"/>
      <c r="G120" s="33"/>
      <c r="H120" s="33"/>
      <c r="I120" s="33"/>
      <c r="J120" s="33"/>
    </row>
    <row r="121" spans="2:10" x14ac:dyDescent="0.2">
      <c r="B121" s="33"/>
      <c r="C121" s="33"/>
      <c r="D121" s="33"/>
      <c r="E121" s="33"/>
      <c r="F121" s="33"/>
      <c r="G121" s="33"/>
      <c r="H121" s="33"/>
      <c r="I121" s="33"/>
      <c r="J121" s="33"/>
    </row>
    <row r="122" spans="2:10" x14ac:dyDescent="0.2">
      <c r="B122" s="33"/>
      <c r="C122" s="33"/>
      <c r="D122" s="33"/>
      <c r="E122" s="33"/>
      <c r="F122" s="33"/>
      <c r="G122" s="33"/>
      <c r="H122" s="33"/>
      <c r="I122" s="33"/>
      <c r="J122" s="33"/>
    </row>
    <row r="123" spans="2:10" x14ac:dyDescent="0.2">
      <c r="B123" s="33"/>
      <c r="C123" s="33"/>
      <c r="D123" s="33"/>
      <c r="E123" s="33"/>
      <c r="F123" s="33"/>
      <c r="G123" s="33"/>
      <c r="H123" s="33"/>
      <c r="I123" s="33"/>
      <c r="J123" s="33"/>
    </row>
    <row r="124" spans="2:10" x14ac:dyDescent="0.2">
      <c r="B124" s="33"/>
      <c r="C124" s="33"/>
      <c r="D124" s="33"/>
      <c r="E124" s="33"/>
      <c r="F124" s="33"/>
      <c r="G124" s="33"/>
      <c r="H124" s="33"/>
      <c r="I124" s="33"/>
      <c r="J124" s="33"/>
    </row>
    <row r="125" spans="2:10" x14ac:dyDescent="0.2">
      <c r="B125" s="33"/>
      <c r="C125" s="33"/>
      <c r="D125" s="33"/>
      <c r="E125" s="33"/>
      <c r="F125" s="33"/>
      <c r="G125" s="33"/>
      <c r="H125" s="33"/>
      <c r="I125" s="33"/>
      <c r="J125" s="33"/>
    </row>
    <row r="126" spans="2:10" x14ac:dyDescent="0.2">
      <c r="B126" s="33"/>
      <c r="C126" s="33"/>
      <c r="D126" s="33"/>
      <c r="E126" s="33"/>
      <c r="F126" s="33"/>
      <c r="G126" s="33"/>
      <c r="H126" s="33"/>
      <c r="I126" s="33"/>
      <c r="J126" s="33"/>
    </row>
    <row r="127" spans="2:10" x14ac:dyDescent="0.2">
      <c r="B127" s="33"/>
      <c r="C127" s="33"/>
      <c r="D127" s="33"/>
      <c r="E127" s="33"/>
      <c r="F127" s="33"/>
      <c r="G127" s="33"/>
      <c r="H127" s="33"/>
      <c r="I127" s="33"/>
      <c r="J127" s="33"/>
    </row>
    <row r="128" spans="2:10" x14ac:dyDescent="0.2">
      <c r="B128" s="33"/>
      <c r="C128" s="33"/>
      <c r="D128" s="33"/>
      <c r="E128" s="33"/>
      <c r="F128" s="33"/>
      <c r="G128" s="33"/>
      <c r="H128" s="33"/>
      <c r="I128" s="33"/>
      <c r="J128" s="33"/>
    </row>
    <row r="129" spans="2:10" x14ac:dyDescent="0.2">
      <c r="B129" s="33"/>
      <c r="C129" s="33"/>
      <c r="D129" s="33"/>
      <c r="E129" s="33"/>
      <c r="F129" s="33"/>
      <c r="G129" s="33"/>
      <c r="H129" s="33"/>
      <c r="I129" s="33"/>
      <c r="J129" s="33"/>
    </row>
    <row r="130" spans="2:10" x14ac:dyDescent="0.2">
      <c r="B130" s="33"/>
      <c r="C130" s="33"/>
      <c r="D130" s="33"/>
      <c r="E130" s="33"/>
      <c r="F130" s="33"/>
      <c r="G130" s="33"/>
      <c r="H130" s="33"/>
      <c r="I130" s="33"/>
      <c r="J130" s="33"/>
    </row>
    <row r="131" spans="2:10" x14ac:dyDescent="0.2">
      <c r="B131" s="33"/>
      <c r="C131" s="33"/>
      <c r="D131" s="33"/>
      <c r="E131" s="33"/>
      <c r="F131" s="33"/>
      <c r="G131" s="33"/>
      <c r="H131" s="33"/>
      <c r="I131" s="33"/>
      <c r="J131" s="33"/>
    </row>
    <row r="132" spans="2:10" x14ac:dyDescent="0.2">
      <c r="B132" s="33"/>
      <c r="C132" s="33"/>
      <c r="D132" s="33"/>
      <c r="E132" s="33"/>
      <c r="F132" s="33"/>
      <c r="G132" s="33"/>
      <c r="H132" s="33"/>
      <c r="I132" s="33"/>
      <c r="J132" s="33"/>
    </row>
    <row r="133" spans="2:10" x14ac:dyDescent="0.2"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2:10" x14ac:dyDescent="0.2">
      <c r="B134" s="33"/>
      <c r="C134" s="33"/>
      <c r="D134" s="33"/>
      <c r="E134" s="33"/>
      <c r="F134" s="33"/>
      <c r="G134" s="33"/>
      <c r="H134" s="33"/>
      <c r="I134" s="33"/>
      <c r="J134" s="33"/>
    </row>
    <row r="135" spans="2:10" x14ac:dyDescent="0.2">
      <c r="B135" s="33"/>
      <c r="C135" s="33"/>
      <c r="D135" s="33"/>
      <c r="E135" s="33"/>
      <c r="F135" s="33"/>
      <c r="G135" s="33"/>
      <c r="H135" s="33"/>
      <c r="I135" s="33"/>
      <c r="J135" s="33"/>
    </row>
    <row r="136" spans="2:10" x14ac:dyDescent="0.2"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2:10" x14ac:dyDescent="0.2">
      <c r="B137" s="33"/>
      <c r="C137" s="33"/>
      <c r="D137" s="33"/>
      <c r="E137" s="33"/>
      <c r="F137" s="33"/>
      <c r="G137" s="33"/>
      <c r="H137" s="33"/>
      <c r="I137" s="33"/>
      <c r="J137" s="33"/>
    </row>
    <row r="138" spans="2:10" x14ac:dyDescent="0.2">
      <c r="B138" s="33"/>
      <c r="C138" s="33"/>
      <c r="D138" s="33"/>
      <c r="E138" s="33"/>
      <c r="F138" s="33"/>
      <c r="G138" s="33"/>
      <c r="H138" s="33"/>
      <c r="I138" s="33"/>
      <c r="J138" s="33"/>
    </row>
    <row r="139" spans="2:10" x14ac:dyDescent="0.2">
      <c r="B139" s="33"/>
      <c r="C139" s="33"/>
      <c r="D139" s="33"/>
      <c r="E139" s="33"/>
      <c r="F139" s="33"/>
      <c r="G139" s="33"/>
      <c r="H139" s="33"/>
      <c r="I139" s="33"/>
      <c r="J139" s="33"/>
    </row>
    <row r="140" spans="2:10" x14ac:dyDescent="0.2">
      <c r="B140" s="33"/>
      <c r="C140" s="33"/>
      <c r="D140" s="33"/>
      <c r="E140" s="33"/>
      <c r="F140" s="33"/>
      <c r="G140" s="33"/>
      <c r="H140" s="33"/>
      <c r="I140" s="33"/>
      <c r="J140" s="33"/>
    </row>
    <row r="141" spans="2:10" x14ac:dyDescent="0.2">
      <c r="B141" s="33"/>
      <c r="C141" s="33"/>
      <c r="D141" s="33"/>
      <c r="E141" s="33"/>
      <c r="F141" s="33"/>
      <c r="G141" s="33"/>
      <c r="H141" s="33"/>
      <c r="I141" s="33"/>
      <c r="J141" s="33"/>
    </row>
    <row r="142" spans="2:10" x14ac:dyDescent="0.2">
      <c r="B142" s="33"/>
      <c r="C142" s="33"/>
      <c r="D142" s="33"/>
      <c r="E142" s="33"/>
      <c r="F142" s="33"/>
      <c r="G142" s="33"/>
      <c r="H142" s="33"/>
      <c r="I142" s="33"/>
      <c r="J142" s="33"/>
    </row>
    <row r="143" spans="2:10" x14ac:dyDescent="0.2">
      <c r="B143" s="33"/>
      <c r="C143" s="33"/>
      <c r="D143" s="33"/>
      <c r="E143" s="33"/>
      <c r="F143" s="33"/>
      <c r="G143" s="33"/>
      <c r="H143" s="33"/>
      <c r="I143" s="33"/>
      <c r="J143" s="33"/>
    </row>
    <row r="144" spans="2:10" x14ac:dyDescent="0.2">
      <c r="B144" s="33"/>
      <c r="C144" s="33"/>
      <c r="D144" s="33"/>
      <c r="E144" s="33"/>
      <c r="F144" s="33"/>
      <c r="G144" s="33"/>
      <c r="H144" s="33"/>
      <c r="I144" s="33"/>
      <c r="J144" s="33"/>
    </row>
    <row r="145" spans="2:10" x14ac:dyDescent="0.2">
      <c r="B145" s="33"/>
      <c r="C145" s="33"/>
      <c r="D145" s="33"/>
      <c r="E145" s="33"/>
      <c r="F145" s="33"/>
      <c r="G145" s="33"/>
      <c r="H145" s="33"/>
      <c r="I145" s="33"/>
      <c r="J145" s="33"/>
    </row>
    <row r="146" spans="2:10" x14ac:dyDescent="0.2">
      <c r="B146" s="33"/>
      <c r="C146" s="33"/>
      <c r="D146" s="33"/>
      <c r="E146" s="33"/>
      <c r="F146" s="33"/>
      <c r="G146" s="33"/>
      <c r="H146" s="33"/>
      <c r="I146" s="33"/>
      <c r="J146" s="33"/>
    </row>
    <row r="147" spans="2:10" x14ac:dyDescent="0.2">
      <c r="B147" s="33"/>
      <c r="C147" s="33"/>
      <c r="D147" s="33"/>
      <c r="E147" s="33"/>
      <c r="F147" s="33"/>
      <c r="G147" s="33"/>
      <c r="H147" s="33"/>
      <c r="I147" s="33"/>
      <c r="J147" s="33"/>
    </row>
    <row r="148" spans="2:10" x14ac:dyDescent="0.2">
      <c r="B148" s="33"/>
      <c r="C148" s="33"/>
      <c r="D148" s="33"/>
      <c r="E148" s="33"/>
      <c r="F148" s="33"/>
      <c r="G148" s="33"/>
      <c r="H148" s="33"/>
      <c r="I148" s="33"/>
      <c r="J148" s="33"/>
    </row>
    <row r="149" spans="2:10" x14ac:dyDescent="0.2">
      <c r="B149" s="33"/>
      <c r="C149" s="33"/>
      <c r="D149" s="33"/>
      <c r="E149" s="33"/>
      <c r="F149" s="33"/>
      <c r="G149" s="33"/>
      <c r="H149" s="33"/>
      <c r="I149" s="33"/>
      <c r="J149" s="33"/>
    </row>
    <row r="150" spans="2:10" x14ac:dyDescent="0.2">
      <c r="B150" s="33"/>
      <c r="C150" s="33"/>
      <c r="D150" s="33"/>
      <c r="E150" s="33"/>
      <c r="F150" s="33"/>
      <c r="G150" s="33"/>
      <c r="H150" s="33"/>
      <c r="I150" s="33"/>
      <c r="J150" s="33"/>
    </row>
    <row r="151" spans="2:10" x14ac:dyDescent="0.2">
      <c r="B151" s="33"/>
      <c r="C151" s="33"/>
      <c r="D151" s="33"/>
      <c r="E151" s="33"/>
      <c r="F151" s="33"/>
      <c r="G151" s="33"/>
      <c r="H151" s="33"/>
      <c r="I151" s="33"/>
      <c r="J151" s="33"/>
    </row>
  </sheetData>
  <mergeCells count="23">
    <mergeCell ref="T7:U7"/>
    <mergeCell ref="V7:W7"/>
    <mergeCell ref="J7:K7"/>
    <mergeCell ref="L7:M7"/>
    <mergeCell ref="N7:O7"/>
    <mergeCell ref="P7:Q7"/>
    <mergeCell ref="R7:S7"/>
    <mergeCell ref="AB1:AC1"/>
    <mergeCell ref="A2:AC2"/>
    <mergeCell ref="A3:AC3"/>
    <mergeCell ref="A4:AC4"/>
    <mergeCell ref="A6:A8"/>
    <mergeCell ref="B6:B8"/>
    <mergeCell ref="C6:E7"/>
    <mergeCell ref="F6:K6"/>
    <mergeCell ref="L6:Q6"/>
    <mergeCell ref="R6:W6"/>
    <mergeCell ref="X7:Y7"/>
    <mergeCell ref="Z7:AA7"/>
    <mergeCell ref="AB7:AC7"/>
    <mergeCell ref="X6:AC6"/>
    <mergeCell ref="F7:G7"/>
    <mergeCell ref="H7:I7"/>
  </mergeCells>
  <pageMargins left="0" right="0" top="0" bottom="0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місяців 2017 рік </vt:lpstr>
    </vt:vector>
  </TitlesOfParts>
  <Company>office 2007 rus ent: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2017-10-06T07:48:41Z</cp:lastPrinted>
  <dcterms:created xsi:type="dcterms:W3CDTF">2017-10-06T07:43:20Z</dcterms:created>
  <dcterms:modified xsi:type="dcterms:W3CDTF">2017-10-06T11:10:15Z</dcterms:modified>
</cp:coreProperties>
</file>