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" yWindow="15" windowWidth="9120" windowHeight="11640" tabRatio="869" firstSheet="1" activeTab="1"/>
  </bookViews>
  <sheets>
    <sheet name="Послуга ЦО" sheetId="1" state="hidden" r:id="rId1"/>
    <sheet name="Додаток1 ТЭ" sheetId="12" r:id="rId2"/>
    <sheet name="Додаток1 скор" sheetId="2" state="hidden" r:id="rId3"/>
    <sheet name="Додаток2" sheetId="3" state="hidden" r:id="rId4"/>
    <sheet name="Додаток2 скор" sheetId="4" state="hidden" r:id="rId5"/>
    <sheet name="Додаток3" sheetId="5" state="hidden" r:id="rId6"/>
    <sheet name="Додаток3 скор" sheetId="10" state="hidden" r:id="rId7"/>
    <sheet name="Додаток4" sheetId="6" state="hidden" r:id="rId8"/>
    <sheet name="Додаток4 скор" sheetId="11" state="hidden" r:id="rId9"/>
    <sheet name="Двоставк" sheetId="7" state="hidden" r:id="rId10"/>
    <sheet name="Додаток5" sheetId="8" state="hidden" r:id="rId11"/>
    <sheet name="Додаток 5" sheetId="9" state="hidden" r:id="rId12"/>
    <sheet name="Лист1" sheetId="13" r:id="rId13"/>
  </sheets>
  <externalReferences>
    <externalReference r:id="rId14"/>
    <externalReference r:id="rId15"/>
    <externalReference r:id="rId16"/>
  </externalReferences>
  <definedNames>
    <definedName name="Z_8839ED87_9C42_4CC2_A1AD_6EF9611832A1_.wvu.Cols" localSheetId="11" hidden="1">'Додаток 5'!$K:$T</definedName>
    <definedName name="Z_8839ED87_9C42_4CC2_A1AD_6EF9611832A1_.wvu.Cols" localSheetId="2" hidden="1">'Додаток1 скор'!$C:$G,'Додаток1 скор'!#REF!</definedName>
    <definedName name="Z_8839ED87_9C42_4CC2_A1AD_6EF9611832A1_.wvu.Cols" localSheetId="1" hidden="1">'Додаток1 ТЭ'!#REF!,'Додаток1 ТЭ'!#REF!</definedName>
    <definedName name="Z_8839ED87_9C42_4CC2_A1AD_6EF9611832A1_.wvu.Cols" localSheetId="3" hidden="1">Додаток2!#REF!,Додаток2!#REF!</definedName>
    <definedName name="Z_8839ED87_9C42_4CC2_A1AD_6EF9611832A1_.wvu.Cols" localSheetId="4" hidden="1">'Додаток2 скор'!$C:$G,'Додаток2 скор'!$Y:$AF</definedName>
    <definedName name="Z_8839ED87_9C42_4CC2_A1AD_6EF9611832A1_.wvu.Cols" localSheetId="5" hidden="1">Додаток3!#REF!</definedName>
    <definedName name="Z_8839ED87_9C42_4CC2_A1AD_6EF9611832A1_.wvu.Cols" localSheetId="6" hidden="1">'Додаток3 скор'!#REF!</definedName>
    <definedName name="Z_8839ED87_9C42_4CC2_A1AD_6EF9611832A1_.wvu.Cols" localSheetId="7" hidden="1">Додаток4!#REF!</definedName>
    <definedName name="Z_8839ED87_9C42_4CC2_A1AD_6EF9611832A1_.wvu.Cols" localSheetId="8" hidden="1">'Додаток4 скор'!$V:$AC</definedName>
    <definedName name="Z_8839ED87_9C42_4CC2_A1AD_6EF9611832A1_.wvu.Cols" localSheetId="0" hidden="1">'Послуга ЦО'!#REF!</definedName>
    <definedName name="Z_8839ED87_9C42_4CC2_A1AD_6EF9611832A1_.wvu.PrintArea" localSheetId="9" hidden="1">Двоставк!$A$1:$J$57</definedName>
    <definedName name="Z_8839ED87_9C42_4CC2_A1AD_6EF9611832A1_.wvu.PrintArea" localSheetId="11" hidden="1">'Додаток 5'!$A$1:$J$57</definedName>
    <definedName name="Z_8839ED87_9C42_4CC2_A1AD_6EF9611832A1_.wvu.PrintArea" localSheetId="2" hidden="1">'Додаток1 скор'!$A$1:$V$62</definedName>
    <definedName name="Z_8839ED87_9C42_4CC2_A1AD_6EF9611832A1_.wvu.PrintArea" localSheetId="1" hidden="1">'Додаток1 ТЭ'!$A$2:$V$77</definedName>
    <definedName name="Z_8839ED87_9C42_4CC2_A1AD_6EF9611832A1_.wvu.PrintArea" localSheetId="3" hidden="1">Додаток2!$A$1:$V$78</definedName>
    <definedName name="Z_8839ED87_9C42_4CC2_A1AD_6EF9611832A1_.wvu.PrintArea" localSheetId="4" hidden="1">'Додаток2 скор'!$A$1:$V$63</definedName>
    <definedName name="Z_8839ED87_9C42_4CC2_A1AD_6EF9611832A1_.wvu.PrintArea" localSheetId="5" hidden="1">Додаток3!$A$1:$V$75</definedName>
    <definedName name="Z_8839ED87_9C42_4CC2_A1AD_6EF9611832A1_.wvu.PrintArea" localSheetId="6" hidden="1">'Додаток3 скор'!$A$1:$R$65</definedName>
    <definedName name="Z_8839ED87_9C42_4CC2_A1AD_6EF9611832A1_.wvu.PrintArea" localSheetId="7" hidden="1">Додаток4!$A$1:$V$78</definedName>
    <definedName name="Z_8839ED87_9C42_4CC2_A1AD_6EF9611832A1_.wvu.PrintArea" localSheetId="8" hidden="1">'Додаток4 скор'!$A$1:$R$56</definedName>
    <definedName name="Z_8839ED87_9C42_4CC2_A1AD_6EF9611832A1_.wvu.PrintArea" localSheetId="10" hidden="1">Додаток5!$A$1:$C$21</definedName>
    <definedName name="Z_8839ED87_9C42_4CC2_A1AD_6EF9611832A1_.wvu.PrintArea" localSheetId="0" hidden="1">'Послуга ЦО'!$A$1:$J$30</definedName>
    <definedName name="Z_8839ED87_9C42_4CC2_A1AD_6EF9611832A1_.wvu.Rows" localSheetId="9" hidden="1">Двоставк!$27:$27,Двоставк!$31:$31,Двоставк!$38:$38,Двоставк!$49:$49,Двоставк!$53:$53</definedName>
    <definedName name="Z_8839ED87_9C42_4CC2_A1AD_6EF9611832A1_.wvu.Rows" localSheetId="11" hidden="1">'Додаток 5'!$25:$25,'Додаток 5'!$29:$29,'Додаток 5'!$31:$31,'Додаток 5'!$37:$37,'Додаток 5'!$44:$44,'Додаток 5'!$49:$49,'Додаток 5'!$53:$53,'Додаток 5'!$56:$56</definedName>
    <definedName name="Z_8839ED87_9C42_4CC2_A1AD_6EF9611832A1_.wvu.Rows" localSheetId="2" hidden="1">'Додаток1 скор'!$46:$46,'Додаток1 скор'!$52:$52</definedName>
    <definedName name="Z_8839ED87_9C42_4CC2_A1AD_6EF9611832A1_.wvu.Rows" localSheetId="1" hidden="1">'Додаток1 ТЭ'!$53:$56,'Додаток1 ТЭ'!$63:$63</definedName>
    <definedName name="Z_8839ED87_9C42_4CC2_A1AD_6EF9611832A1_.wvu.Rows" localSheetId="3" hidden="1">Додаток2!$54:$57,Додаток2!$64:$64</definedName>
    <definedName name="Z_8839ED87_9C42_4CC2_A1AD_6EF9611832A1_.wvu.Rows" localSheetId="4" hidden="1">'Додаток2 скор'!$46:$48,'Додаток2 скор'!$55:$55</definedName>
    <definedName name="Z_8839ED87_9C42_4CC2_A1AD_6EF9611832A1_.wvu.Rows" localSheetId="5" hidden="1">Додаток3!$5:$5,Додаток3!$44:$45,Додаток3!$50:$50,Додаток3!#REF!,Додаток3!$59:$59</definedName>
    <definedName name="Z_8839ED87_9C42_4CC2_A1AD_6EF9611832A1_.wvu.Rows" localSheetId="6" hidden="1">'Додаток3 скор'!$9:$9,'Додаток3 скор'!$35:$37,'Додаток3 скор'!$44:$44,'Додаток3 скор'!$53:$57,'Додаток3 скор'!$62:$62</definedName>
    <definedName name="Z_8839ED87_9C42_4CC2_A1AD_6EF9611832A1_.wvu.Rows" localSheetId="7" hidden="1">Додаток4!#REF!,Додаток4!$51:$51,Додаток4!$58:$62</definedName>
    <definedName name="Z_8839ED87_9C42_4CC2_A1AD_6EF9611832A1_.wvu.Rows" localSheetId="8" hidden="1">'Додаток4 скор'!#REF!,'Додаток4 скор'!$39:$39,'Додаток4 скор'!$46:$50</definedName>
    <definedName name="Z_8839ED87_9C42_4CC2_A1AD_6EF9611832A1_.wvu.Rows" localSheetId="0" hidden="1">'Послуга ЦО'!#REF!,'Послуга ЦО'!#REF!,'Послуга ЦО'!#REF!,'Послуга ЦО'!#REF!</definedName>
    <definedName name="Z_B233FDC7_B79B_43AD_9288_8B6C8ACB6ACB_.wvu.PrintArea" localSheetId="9" hidden="1">Двоставк!$A$1:$J$57</definedName>
    <definedName name="Z_B233FDC7_B79B_43AD_9288_8B6C8ACB6ACB_.wvu.PrintArea" localSheetId="2" hidden="1">'Додаток1 скор'!$A$1:$V$65</definedName>
    <definedName name="Z_B233FDC7_B79B_43AD_9288_8B6C8ACB6ACB_.wvu.PrintArea" localSheetId="1" hidden="1">'Додаток1 ТЭ'!$A$2:$V$79</definedName>
    <definedName name="Z_B233FDC7_B79B_43AD_9288_8B6C8ACB6ACB_.wvu.PrintArea" localSheetId="3" hidden="1">Додаток2!$A$1:$V$80</definedName>
    <definedName name="Z_B233FDC7_B79B_43AD_9288_8B6C8ACB6ACB_.wvu.PrintArea" localSheetId="0" hidden="1">'Послуга ЦО'!$A$1:$J$30</definedName>
    <definedName name="Z_B233FDC7_B79B_43AD_9288_8B6C8ACB6ACB_.wvu.Rows" localSheetId="9" hidden="1">Двоставк!$27:$27,Двоставк!$31:$31,Двоставк!$38:$38,Двоставк!$49:$49,Двоставк!$53:$53</definedName>
    <definedName name="Z_BF9F446D_D2F9_4EAA_BD71_B531E336462E_.wvu.Cols" localSheetId="11" hidden="1">'Додаток 5'!$K:$T</definedName>
    <definedName name="Z_BF9F446D_D2F9_4EAA_BD71_B531E336462E_.wvu.Cols" localSheetId="2" hidden="1">'Додаток1 скор'!$C:$C,'Додаток1 скор'!#REF!</definedName>
    <definedName name="Z_BF9F446D_D2F9_4EAA_BD71_B531E336462E_.wvu.Cols" localSheetId="1" hidden="1">'Додаток1 ТЭ'!#REF!,'Додаток1 ТЭ'!#REF!</definedName>
    <definedName name="Z_BF9F446D_D2F9_4EAA_BD71_B531E336462E_.wvu.Cols" localSheetId="3" hidden="1">Додаток2!#REF!,Додаток2!#REF!</definedName>
    <definedName name="Z_BF9F446D_D2F9_4EAA_BD71_B531E336462E_.wvu.Cols" localSheetId="4" hidden="1">'Додаток2 скор'!$C:$C,'Додаток2 скор'!$Y:$AF</definedName>
    <definedName name="Z_BF9F446D_D2F9_4EAA_BD71_B531E336462E_.wvu.Cols" localSheetId="5" hidden="1">Додаток3!#REF!</definedName>
    <definedName name="Z_BF9F446D_D2F9_4EAA_BD71_B531E336462E_.wvu.Cols" localSheetId="6" hidden="1">'Додаток3 скор'!#REF!</definedName>
    <definedName name="Z_BF9F446D_D2F9_4EAA_BD71_B531E336462E_.wvu.Cols" localSheetId="7" hidden="1">Додаток4!#REF!</definedName>
    <definedName name="Z_BF9F446D_D2F9_4EAA_BD71_B531E336462E_.wvu.Cols" localSheetId="8" hidden="1">'Додаток4 скор'!$V:$AC</definedName>
    <definedName name="Z_BF9F446D_D2F9_4EAA_BD71_B531E336462E_.wvu.Cols" localSheetId="0" hidden="1">'Послуга ЦО'!#REF!</definedName>
    <definedName name="Z_BF9F446D_D2F9_4EAA_BD71_B531E336462E_.wvu.PrintArea" localSheetId="9" hidden="1">Двоставк!$A$1:$J$57</definedName>
    <definedName name="Z_BF9F446D_D2F9_4EAA_BD71_B531E336462E_.wvu.PrintArea" localSheetId="11" hidden="1">'Додаток 5'!$A$1:$J$57</definedName>
    <definedName name="Z_BF9F446D_D2F9_4EAA_BD71_B531E336462E_.wvu.PrintArea" localSheetId="2" hidden="1">'Додаток1 скор'!$A$1:$V$62</definedName>
    <definedName name="Z_BF9F446D_D2F9_4EAA_BD71_B531E336462E_.wvu.PrintArea" localSheetId="1" hidden="1">'Додаток1 ТЭ'!$A$2:$V$77</definedName>
    <definedName name="Z_BF9F446D_D2F9_4EAA_BD71_B531E336462E_.wvu.PrintArea" localSheetId="3" hidden="1">Додаток2!$A$1:$V$78</definedName>
    <definedName name="Z_BF9F446D_D2F9_4EAA_BD71_B531E336462E_.wvu.PrintArea" localSheetId="4" hidden="1">'Додаток2 скор'!$A$1:$V$63</definedName>
    <definedName name="Z_BF9F446D_D2F9_4EAA_BD71_B531E336462E_.wvu.PrintArea" localSheetId="5" hidden="1">Додаток3!$A$1:$V$75</definedName>
    <definedName name="Z_BF9F446D_D2F9_4EAA_BD71_B531E336462E_.wvu.PrintArea" localSheetId="6" hidden="1">'Додаток3 скор'!$A$1:$R$65</definedName>
    <definedName name="Z_BF9F446D_D2F9_4EAA_BD71_B531E336462E_.wvu.PrintArea" localSheetId="7" hidden="1">Додаток4!$A$1:$V$78</definedName>
    <definedName name="Z_BF9F446D_D2F9_4EAA_BD71_B531E336462E_.wvu.PrintArea" localSheetId="8" hidden="1">'Додаток4 скор'!$A$1:$R$56</definedName>
    <definedName name="Z_BF9F446D_D2F9_4EAA_BD71_B531E336462E_.wvu.PrintArea" localSheetId="10" hidden="1">Додаток5!$A$1:$C$21</definedName>
    <definedName name="Z_BF9F446D_D2F9_4EAA_BD71_B531E336462E_.wvu.PrintArea" localSheetId="0" hidden="1">'Послуга ЦО'!$A$1:$J$30</definedName>
    <definedName name="Z_BF9F446D_D2F9_4EAA_BD71_B531E336462E_.wvu.Rows" localSheetId="9" hidden="1">Двоставк!$27:$27,Двоставк!$31:$31,Двоставк!$38:$38,Двоставк!$49:$49,Двоставк!$53:$53</definedName>
    <definedName name="Z_BF9F446D_D2F9_4EAA_BD71_B531E336462E_.wvu.Rows" localSheetId="11" hidden="1">'Додаток 5'!$25:$25,'Додаток 5'!$29:$29,'Додаток 5'!$31:$31,'Додаток 5'!$37:$37,'Додаток 5'!$44:$44,'Додаток 5'!$49:$49,'Додаток 5'!$53:$53,'Додаток 5'!$56:$56</definedName>
    <definedName name="Z_BF9F446D_D2F9_4EAA_BD71_B531E336462E_.wvu.Rows" localSheetId="2" hidden="1">'Додаток1 скор'!$46:$46,'Додаток1 скор'!$52:$52</definedName>
    <definedName name="Z_BF9F446D_D2F9_4EAA_BD71_B531E336462E_.wvu.Rows" localSheetId="1" hidden="1">'Додаток1 ТЭ'!$53:$56,'Додаток1 ТЭ'!$63:$63</definedName>
    <definedName name="Z_BF9F446D_D2F9_4EAA_BD71_B531E336462E_.wvu.Rows" localSheetId="3" hidden="1">Додаток2!$54:$57,Додаток2!$64:$64</definedName>
    <definedName name="Z_BF9F446D_D2F9_4EAA_BD71_B531E336462E_.wvu.Rows" localSheetId="4" hidden="1">'Додаток2 скор'!$46:$48,'Додаток2 скор'!$55:$55</definedName>
    <definedName name="Z_BF9F446D_D2F9_4EAA_BD71_B531E336462E_.wvu.Rows" localSheetId="5" hidden="1">Додаток3!$5:$5,Додаток3!$44:$45,Додаток3!$50:$50,Додаток3!#REF!,Додаток3!$59:$59</definedName>
    <definedName name="Z_BF9F446D_D2F9_4EAA_BD71_B531E336462E_.wvu.Rows" localSheetId="6" hidden="1">'Додаток3 скор'!$9:$9,'Додаток3 скор'!$35:$37,'Додаток3 скор'!$44:$44,'Додаток3 скор'!$53:$57,'Додаток3 скор'!$62:$62</definedName>
    <definedName name="Z_BF9F446D_D2F9_4EAA_BD71_B531E336462E_.wvu.Rows" localSheetId="7" hidden="1">Додаток4!#REF!,Додаток4!$51:$51,Додаток4!$58:$62</definedName>
    <definedName name="Z_BF9F446D_D2F9_4EAA_BD71_B531E336462E_.wvu.Rows" localSheetId="8" hidden="1">'Додаток4 скор'!#REF!,'Додаток4 скор'!$39:$39,'Додаток4 скор'!$46:$50</definedName>
    <definedName name="Z_BF9F446D_D2F9_4EAA_BD71_B531E336462E_.wvu.Rows" localSheetId="0" hidden="1">'Послуга ЦО'!#REF!,'Послуга ЦО'!#REF!,'Послуга ЦО'!#REF!,'Послуга ЦО'!#REF!</definedName>
    <definedName name="_xlnm.Print_Titles" localSheetId="1">'Додаток1 ТЭ'!$5:$8</definedName>
    <definedName name="_xlnm.Print_Titles" localSheetId="3">Додаток2!$4:$7</definedName>
    <definedName name="_xlnm.Print_Titles" localSheetId="4">'Додаток2 скор'!$4:$6</definedName>
    <definedName name="_xlnm.Print_Titles" localSheetId="5">Додаток3!$4:$7</definedName>
    <definedName name="_xlnm.Print_Titles" localSheetId="6">'Додаток3 скор'!$8:$12</definedName>
    <definedName name="_xlnm.Print_Titles" localSheetId="7">Додаток4!$4:$7</definedName>
    <definedName name="_xlnm.Print_Titles" localSheetId="0">'Послуга ЦО'!$4:$7</definedName>
    <definedName name="_xlnm.Print_Area" localSheetId="9">Двоставк!$A$1:$J$57</definedName>
    <definedName name="_xlnm.Print_Area" localSheetId="11">'Додаток 5'!$A$1:$J$57</definedName>
    <definedName name="_xlnm.Print_Area" localSheetId="2">'Додаток1 скор'!$A$1:$V$60</definedName>
    <definedName name="_xlnm.Print_Area" localSheetId="1">'Додаток1 ТЭ'!$A$2:$AC$75</definedName>
    <definedName name="_xlnm.Print_Area" localSheetId="3">Додаток2!$A$1:$AC$83</definedName>
    <definedName name="_xlnm.Print_Area" localSheetId="4">'Додаток2 скор'!$A$1:$V$67</definedName>
    <definedName name="_xlnm.Print_Area" localSheetId="5">Додаток3!$A$1:$AC$72</definedName>
    <definedName name="_xlnm.Print_Area" localSheetId="6">'Додаток3 скор'!$A$1:$U$65</definedName>
    <definedName name="_xlnm.Print_Area" localSheetId="7">Додаток4!$A$1:$AC$78</definedName>
    <definedName name="_xlnm.Print_Area" localSheetId="8">'Додаток4 скор'!$A$1:$U$52</definedName>
    <definedName name="_xlnm.Print_Area" localSheetId="10">Додаток5!$A$1:$C$21</definedName>
    <definedName name="_xlnm.Print_Area" localSheetId="0">'Послуга ЦО'!$A$1:$J$33</definedName>
  </definedNames>
  <calcPr calcId="125725" fullCalcOnLoad="1" fullPrecision="0"/>
  <customWorkbookViews>
    <customWorkbookView name="trikisha - Личное представление" guid="{8839ED87-9C42-4CC2-A1AD-6EF9611832A1}" mergeInterval="0" personalView="1" maximized="1" xWindow="1" yWindow="1" windowWidth="1360" windowHeight="538" tabRatio="869" activeSheetId="4"/>
    <customWorkbookView name="Кисляченко Олександр Петрович - Личное представление" guid="{B233FDC7-B79B-43AD-9288-8B6C8ACB6ACB}" mergeInterval="0" personalView="1" maximized="1" windowWidth="1351" windowHeight="538" tabRatio="869" activeSheetId="2"/>
    <customWorkbookView name="Каплюченко В. Роман - Личное представление" guid="{BF9F446D-D2F9-4EAA-BD71-B531E336462E}" mergeInterval="0" personalView="1" maximized="1" windowWidth="1356" windowHeight="543" tabRatio="869" activeSheetId="2"/>
  </customWorkbookViews>
</workbook>
</file>

<file path=xl/calcChain.xml><?xml version="1.0" encoding="utf-8"?>
<calcChain xmlns="http://schemas.openxmlformats.org/spreadsheetml/2006/main">
  <c r="J54" i="12"/>
  <c r="J50"/>
  <c r="J49"/>
  <c r="J48"/>
  <c r="J47"/>
  <c r="J46"/>
  <c r="J45"/>
  <c r="J44"/>
  <c r="J40"/>
  <c r="J36"/>
  <c r="J35"/>
  <c r="J34"/>
  <c r="J33"/>
  <c r="AA54"/>
  <c r="AA50"/>
  <c r="AA49"/>
  <c r="AA48"/>
  <c r="AA47"/>
  <c r="AA46"/>
  <c r="AA45"/>
  <c r="AA44"/>
  <c r="AA43"/>
  <c r="AA40"/>
  <c r="AA36"/>
  <c r="AA35"/>
  <c r="AA34"/>
  <c r="AA33"/>
  <c r="AA32"/>
  <c r="AA31"/>
  <c r="AA30"/>
  <c r="AA27"/>
  <c r="AA21"/>
  <c r="AA20"/>
  <c r="AA19"/>
  <c r="AA18"/>
  <c r="AA17"/>
  <c r="AA16"/>
  <c r="AA10"/>
  <c r="V54"/>
  <c r="V50"/>
  <c r="U50"/>
  <c r="V49"/>
  <c r="U49"/>
  <c r="V48"/>
  <c r="U48"/>
  <c r="V47"/>
  <c r="U47"/>
  <c r="V46"/>
  <c r="U46"/>
  <c r="V45"/>
  <c r="U45"/>
  <c r="V44"/>
  <c r="U44"/>
  <c r="V43"/>
  <c r="V40"/>
  <c r="V36"/>
  <c r="U36"/>
  <c r="V35"/>
  <c r="U35"/>
  <c r="V34"/>
  <c r="U34"/>
  <c r="V33"/>
  <c r="U33"/>
  <c r="V32"/>
  <c r="U32"/>
  <c r="V31"/>
  <c r="U31"/>
  <c r="V30"/>
  <c r="V27"/>
  <c r="U27"/>
  <c r="V21"/>
  <c r="U21"/>
  <c r="V20"/>
  <c r="U20"/>
  <c r="V19"/>
  <c r="U19"/>
  <c r="V18"/>
  <c r="U18"/>
  <c r="V17"/>
  <c r="U17"/>
  <c r="V16"/>
  <c r="U16"/>
  <c r="V10"/>
  <c r="U10"/>
  <c r="O52"/>
  <c r="O50"/>
  <c r="O49"/>
  <c r="O48"/>
  <c r="O47"/>
  <c r="O46"/>
  <c r="O45"/>
  <c r="O44"/>
  <c r="O43"/>
  <c r="O42"/>
  <c r="O40"/>
  <c r="O36"/>
  <c r="O35"/>
  <c r="O34"/>
  <c r="O33"/>
  <c r="O32"/>
  <c r="O31"/>
  <c r="O29"/>
  <c r="O27"/>
  <c r="O10"/>
  <c r="C29" i="3"/>
  <c r="P21" i="12"/>
  <c r="O21"/>
  <c r="J21"/>
  <c r="I21"/>
  <c r="E34" i="3"/>
  <c r="D16"/>
  <c r="D21" i="12"/>
  <c r="E21"/>
  <c r="C21"/>
  <c r="C16" i="3"/>
  <c r="U18" i="6"/>
  <c r="I21"/>
  <c r="U10" i="5"/>
  <c r="U40"/>
  <c r="O30"/>
  <c r="I36" i="12"/>
  <c r="P36"/>
  <c r="D36"/>
  <c r="E36"/>
  <c r="C36"/>
  <c r="C34" i="3"/>
  <c r="C33" i="12" s="1"/>
  <c r="D34" i="3"/>
  <c r="D33" i="12" s="1"/>
  <c r="G60"/>
  <c r="H60"/>
  <c r="I60"/>
  <c r="M60"/>
  <c r="N60"/>
  <c r="Q60"/>
  <c r="S60"/>
  <c r="T60"/>
  <c r="U60"/>
  <c r="W60"/>
  <c r="Y60"/>
  <c r="Z60"/>
  <c r="AA60"/>
  <c r="AB60"/>
  <c r="G62"/>
  <c r="H62"/>
  <c r="M62"/>
  <c r="N62"/>
  <c r="S62"/>
  <c r="T62"/>
  <c r="Y62"/>
  <c r="Z62"/>
  <c r="M63"/>
  <c r="N63"/>
  <c r="S63"/>
  <c r="T63"/>
  <c r="Y63"/>
  <c r="Z63"/>
  <c r="M64"/>
  <c r="N64"/>
  <c r="S64"/>
  <c r="T64"/>
  <c r="Y64"/>
  <c r="Z64"/>
  <c r="G65"/>
  <c r="H65"/>
  <c r="M65"/>
  <c r="N65"/>
  <c r="S65"/>
  <c r="T65"/>
  <c r="Y65"/>
  <c r="Z65"/>
  <c r="G66"/>
  <c r="H66"/>
  <c r="M66"/>
  <c r="N66"/>
  <c r="S66"/>
  <c r="T66"/>
  <c r="Y66"/>
  <c r="Z66"/>
  <c r="E50"/>
  <c r="I50"/>
  <c r="P50"/>
  <c r="D52"/>
  <c r="D53"/>
  <c r="D54"/>
  <c r="E54"/>
  <c r="I54"/>
  <c r="P54"/>
  <c r="D55"/>
  <c r="E55"/>
  <c r="C52"/>
  <c r="C53"/>
  <c r="C54"/>
  <c r="C55"/>
  <c r="D44"/>
  <c r="E44"/>
  <c r="I44"/>
  <c r="P44"/>
  <c r="E45"/>
  <c r="I45"/>
  <c r="P45"/>
  <c r="D46"/>
  <c r="E46"/>
  <c r="I46"/>
  <c r="P46"/>
  <c r="D47"/>
  <c r="E47"/>
  <c r="I47"/>
  <c r="P47"/>
  <c r="D48"/>
  <c r="E48"/>
  <c r="I48"/>
  <c r="P48"/>
  <c r="D49"/>
  <c r="E49"/>
  <c r="I49"/>
  <c r="P49"/>
  <c r="C47"/>
  <c r="C48"/>
  <c r="C49"/>
  <c r="C46"/>
  <c r="I34"/>
  <c r="P34"/>
  <c r="I35"/>
  <c r="P35"/>
  <c r="I40"/>
  <c r="P40"/>
  <c r="D34"/>
  <c r="E34"/>
  <c r="D35"/>
  <c r="E35"/>
  <c r="D38"/>
  <c r="D39"/>
  <c r="D40"/>
  <c r="E40"/>
  <c r="C40"/>
  <c r="C38"/>
  <c r="C39"/>
  <c r="C35"/>
  <c r="C34"/>
  <c r="D31"/>
  <c r="I31"/>
  <c r="E32"/>
  <c r="I32"/>
  <c r="E33"/>
  <c r="I33"/>
  <c r="P33"/>
  <c r="C31"/>
  <c r="D26"/>
  <c r="E26"/>
  <c r="D27"/>
  <c r="I27"/>
  <c r="D28"/>
  <c r="E28"/>
  <c r="C28"/>
  <c r="C27"/>
  <c r="C26"/>
  <c r="C23"/>
  <c r="C24"/>
  <c r="D13"/>
  <c r="E13"/>
  <c r="E14"/>
  <c r="D16"/>
  <c r="E16"/>
  <c r="I16"/>
  <c r="J16"/>
  <c r="O16"/>
  <c r="P16"/>
  <c r="D17"/>
  <c r="E17"/>
  <c r="I17"/>
  <c r="J17"/>
  <c r="O17"/>
  <c r="P17"/>
  <c r="D18"/>
  <c r="E18"/>
  <c r="I18"/>
  <c r="J18"/>
  <c r="O18"/>
  <c r="P18"/>
  <c r="D19"/>
  <c r="E19"/>
  <c r="I19"/>
  <c r="J19"/>
  <c r="O19"/>
  <c r="P19"/>
  <c r="D20"/>
  <c r="E20"/>
  <c r="I20"/>
  <c r="J20"/>
  <c r="O20"/>
  <c r="P20"/>
  <c r="C20"/>
  <c r="C19"/>
  <c r="C18"/>
  <c r="C17"/>
  <c r="C16"/>
  <c r="C13"/>
  <c r="AA25" i="6"/>
  <c r="AA13"/>
  <c r="V13"/>
  <c r="U13"/>
  <c r="P13"/>
  <c r="O13"/>
  <c r="J13"/>
  <c r="I13"/>
  <c r="AD56"/>
  <c r="AD63"/>
  <c r="E25"/>
  <c r="E13"/>
  <c r="AD57" i="5"/>
  <c r="O40"/>
  <c r="I40"/>
  <c r="AA36"/>
  <c r="V36"/>
  <c r="U36"/>
  <c r="U35" s="1"/>
  <c r="P36"/>
  <c r="P43" i="12"/>
  <c r="O36" i="5"/>
  <c r="O35"/>
  <c r="J36"/>
  <c r="J43" i="12"/>
  <c r="I36" i="5"/>
  <c r="I35"/>
  <c r="U30"/>
  <c r="I30"/>
  <c r="AA26"/>
  <c r="V26"/>
  <c r="U26"/>
  <c r="U25"/>
  <c r="P26"/>
  <c r="O26"/>
  <c r="J26"/>
  <c r="I26"/>
  <c r="I25" s="1"/>
  <c r="U22"/>
  <c r="O22"/>
  <c r="I22"/>
  <c r="U19"/>
  <c r="O19"/>
  <c r="I19"/>
  <c r="E22"/>
  <c r="E19"/>
  <c r="E23" i="3"/>
  <c r="E28"/>
  <c r="E27" i="12"/>
  <c r="E16" i="3"/>
  <c r="E14" i="5"/>
  <c r="E10" s="1"/>
  <c r="E9" s="1"/>
  <c r="E69" i="12"/>
  <c r="E41" i="6"/>
  <c r="E40"/>
  <c r="E31"/>
  <c r="E30"/>
  <c r="E42" i="5"/>
  <c r="E41"/>
  <c r="E40"/>
  <c r="E32"/>
  <c r="E30"/>
  <c r="E31"/>
  <c r="E54" i="3"/>
  <c r="E53" i="12" s="1"/>
  <c r="E53" i="3"/>
  <c r="E52" i="12" s="1"/>
  <c r="E40" i="3"/>
  <c r="E39" i="12" s="1"/>
  <c r="E39" i="3"/>
  <c r="E38" i="12" s="1"/>
  <c r="E32" i="3"/>
  <c r="E31" i="12" s="1"/>
  <c r="E31" i="3"/>
  <c r="I31"/>
  <c r="I30" i="12"/>
  <c r="J31" i="3"/>
  <c r="O31"/>
  <c r="P31"/>
  <c r="U31"/>
  <c r="V31"/>
  <c r="AA31"/>
  <c r="D38" i="6"/>
  <c r="D50" i="12"/>
  <c r="E35" i="6"/>
  <c r="D21"/>
  <c r="D39"/>
  <c r="D29"/>
  <c r="D25"/>
  <c r="D18"/>
  <c r="D12"/>
  <c r="D10"/>
  <c r="E10"/>
  <c r="D14" i="5"/>
  <c r="D15" i="12" s="1"/>
  <c r="E36" i="5"/>
  <c r="D38"/>
  <c r="D36"/>
  <c r="D35" s="1"/>
  <c r="D28"/>
  <c r="D26" s="1"/>
  <c r="D25" s="1"/>
  <c r="E26"/>
  <c r="D13"/>
  <c r="D46" i="3"/>
  <c r="D44"/>
  <c r="D45" i="12"/>
  <c r="D33" i="3"/>
  <c r="D32" i="12" s="1"/>
  <c r="D52" i="3"/>
  <c r="D38"/>
  <c r="D26"/>
  <c r="D23"/>
  <c r="D15"/>
  <c r="D14" i="12" s="1"/>
  <c r="D11" i="3"/>
  <c r="D12" i="12" s="1"/>
  <c r="E11" i="3"/>
  <c r="E12" i="12" s="1"/>
  <c r="D23"/>
  <c r="D24"/>
  <c r="D69"/>
  <c r="C44"/>
  <c r="C21" i="6"/>
  <c r="C39"/>
  <c r="C29"/>
  <c r="C18"/>
  <c r="C13"/>
  <c r="C15" i="12" s="1"/>
  <c r="C12" i="6"/>
  <c r="C35"/>
  <c r="C25"/>
  <c r="C39" i="5"/>
  <c r="C38"/>
  <c r="C36" s="1"/>
  <c r="C28"/>
  <c r="C26" s="1"/>
  <c r="C50" i="12"/>
  <c r="C46" i="3"/>
  <c r="C33"/>
  <c r="C32" i="12" s="1"/>
  <c r="C13" i="5"/>
  <c r="C10" s="1"/>
  <c r="D40"/>
  <c r="C40"/>
  <c r="D30"/>
  <c r="C30"/>
  <c r="D22"/>
  <c r="C22"/>
  <c r="D19"/>
  <c r="C19"/>
  <c r="D10"/>
  <c r="C52" i="3"/>
  <c r="C26"/>
  <c r="C25" i="12" s="1"/>
  <c r="C23" i="3"/>
  <c r="C15"/>
  <c r="C14" i="12"/>
  <c r="C11" i="3"/>
  <c r="C12" i="12"/>
  <c r="C34" i="6"/>
  <c r="D9" i="5"/>
  <c r="AB12" i="12"/>
  <c r="W12"/>
  <c r="X12" s="1"/>
  <c r="Q12"/>
  <c r="R12" s="1"/>
  <c r="K12"/>
  <c r="Z56"/>
  <c r="Y56"/>
  <c r="Z12"/>
  <c r="Y12"/>
  <c r="T12"/>
  <c r="S12"/>
  <c r="N12"/>
  <c r="M12"/>
  <c r="H12"/>
  <c r="G12"/>
  <c r="AB67" i="3"/>
  <c r="AB66" i="12"/>
  <c r="AB66" i="3"/>
  <c r="AB65" i="12"/>
  <c r="AB65" i="3"/>
  <c r="AB64" i="12"/>
  <c r="AB64" i="3"/>
  <c r="AB63" i="12"/>
  <c r="AB63" i="3"/>
  <c r="AB62" i="12"/>
  <c r="AB59" i="3"/>
  <c r="AB58"/>
  <c r="AB57"/>
  <c r="AB56" i="12"/>
  <c r="AC56" s="1"/>
  <c r="E61" i="3"/>
  <c r="E45" i="5"/>
  <c r="AD45"/>
  <c r="E46"/>
  <c r="AD46"/>
  <c r="E47"/>
  <c r="AD47"/>
  <c r="E51"/>
  <c r="AD51"/>
  <c r="E52"/>
  <c r="AD52"/>
  <c r="E53"/>
  <c r="AD53"/>
  <c r="E54"/>
  <c r="AD54"/>
  <c r="E55"/>
  <c r="AD55"/>
  <c r="E48" i="6"/>
  <c r="AD48"/>
  <c r="G57"/>
  <c r="H57"/>
  <c r="I57"/>
  <c r="K57"/>
  <c r="L48" s="1"/>
  <c r="M57"/>
  <c r="N57"/>
  <c r="O57"/>
  <c r="Q57"/>
  <c r="S57"/>
  <c r="T57"/>
  <c r="U57"/>
  <c r="W57"/>
  <c r="Y57"/>
  <c r="Z57"/>
  <c r="AB57"/>
  <c r="AB49"/>
  <c r="Z49"/>
  <c r="Y49"/>
  <c r="S49"/>
  <c r="T49"/>
  <c r="M49"/>
  <c r="N49"/>
  <c r="G49"/>
  <c r="H49"/>
  <c r="C44"/>
  <c r="D44"/>
  <c r="C45"/>
  <c r="C57" i="12" s="1"/>
  <c r="D45" i="6"/>
  <c r="D57" i="12" s="1"/>
  <c r="C46" i="6"/>
  <c r="C58" i="12" s="1"/>
  <c r="D46" i="6"/>
  <c r="D58" i="12" s="1"/>
  <c r="C48" i="6"/>
  <c r="D48"/>
  <c r="C50"/>
  <c r="C62" i="12" s="1"/>
  <c r="D50" i="6"/>
  <c r="D62" i="12" s="1"/>
  <c r="C51" i="6"/>
  <c r="D51"/>
  <c r="C52"/>
  <c r="D52"/>
  <c r="C53"/>
  <c r="C65" i="12" s="1"/>
  <c r="D53" i="6"/>
  <c r="D65" i="12" s="1"/>
  <c r="C54" i="6"/>
  <c r="C66" i="12" s="1"/>
  <c r="D54" i="6"/>
  <c r="D66" i="12" s="1"/>
  <c r="AB5" i="6"/>
  <c r="C69" i="12"/>
  <c r="C57" i="6"/>
  <c r="D57"/>
  <c r="K70" i="3"/>
  <c r="K58" i="5" s="1"/>
  <c r="AB70" i="3"/>
  <c r="AB58" i="5" s="1"/>
  <c r="S50"/>
  <c r="T50"/>
  <c r="M50"/>
  <c r="N50"/>
  <c r="AB5"/>
  <c r="M70" i="3"/>
  <c r="M58" i="5" s="1"/>
  <c r="N70" i="3"/>
  <c r="N58" i="5" s="1"/>
  <c r="O70" i="3"/>
  <c r="Q70"/>
  <c r="S70"/>
  <c r="S58" i="5" s="1"/>
  <c r="T70" i="3"/>
  <c r="T58" i="5" s="1"/>
  <c r="U70" i="3"/>
  <c r="W70"/>
  <c r="W58" i="5" s="1"/>
  <c r="Y70" i="3"/>
  <c r="Y58" i="5" s="1"/>
  <c r="Z70" i="3"/>
  <c r="Z58" i="5" s="1"/>
  <c r="H70" i="3"/>
  <c r="H58" i="5" s="1"/>
  <c r="I70" i="3"/>
  <c r="I58" i="5" s="1"/>
  <c r="G70" i="3"/>
  <c r="G58" i="5" s="1"/>
  <c r="Y62" i="3"/>
  <c r="Y61" i="12" s="1"/>
  <c r="Z62" i="3"/>
  <c r="Z61" i="12" s="1"/>
  <c r="S62" i="3"/>
  <c r="S61" i="12" s="1"/>
  <c r="T62" i="3"/>
  <c r="T61" i="12" s="1"/>
  <c r="M62" i="3"/>
  <c r="M61" i="12" s="1"/>
  <c r="N62" i="3"/>
  <c r="N61" i="12" s="1"/>
  <c r="G62" i="3"/>
  <c r="H62"/>
  <c r="C61"/>
  <c r="D61"/>
  <c r="D60" i="12"/>
  <c r="AB5" i="3"/>
  <c r="C24" i="6"/>
  <c r="C49"/>
  <c r="D49"/>
  <c r="D24"/>
  <c r="AB6" i="12"/>
  <c r="W68"/>
  <c r="B66"/>
  <c r="B64"/>
  <c r="K49" i="5"/>
  <c r="E49" s="1"/>
  <c r="AA62" i="3"/>
  <c r="AA10"/>
  <c r="AA52"/>
  <c r="AA43" s="1"/>
  <c r="AA38"/>
  <c r="AA26"/>
  <c r="W64"/>
  <c r="W69"/>
  <c r="Q64"/>
  <c r="K64"/>
  <c r="AA62" i="6"/>
  <c r="AA61"/>
  <c r="AA60"/>
  <c r="AA59"/>
  <c r="AA58"/>
  <c r="W58"/>
  <c r="X58"/>
  <c r="W59"/>
  <c r="X59"/>
  <c r="W60"/>
  <c r="X60"/>
  <c r="W61"/>
  <c r="X61"/>
  <c r="W62"/>
  <c r="X62"/>
  <c r="Q58"/>
  <c r="R58"/>
  <c r="Q59"/>
  <c r="R59"/>
  <c r="Q60"/>
  <c r="R60"/>
  <c r="Q61"/>
  <c r="R61"/>
  <c r="Q62"/>
  <c r="R62"/>
  <c r="K58"/>
  <c r="L58"/>
  <c r="K59"/>
  <c r="L59"/>
  <c r="K60"/>
  <c r="AD60" s="1"/>
  <c r="L60"/>
  <c r="K61"/>
  <c r="L61"/>
  <c r="K62"/>
  <c r="L62"/>
  <c r="O10" i="11"/>
  <c r="T10"/>
  <c r="T9" i="10"/>
  <c r="O9"/>
  <c r="U5" i="2"/>
  <c r="U5" i="4"/>
  <c r="P5" i="2"/>
  <c r="P5" i="4"/>
  <c r="E36" i="11"/>
  <c r="Z27"/>
  <c r="Y27"/>
  <c r="X27"/>
  <c r="AA24"/>
  <c r="Z22"/>
  <c r="Z23" s="1"/>
  <c r="T30" s="1"/>
  <c r="Y22"/>
  <c r="Y23"/>
  <c r="O30" s="1"/>
  <c r="X22"/>
  <c r="J29" s="1"/>
  <c r="AA21"/>
  <c r="Z19"/>
  <c r="T24"/>
  <c r="Y19"/>
  <c r="O24"/>
  <c r="X19"/>
  <c r="J24"/>
  <c r="AA18"/>
  <c r="Z16"/>
  <c r="Z17" s="1"/>
  <c r="Y16"/>
  <c r="O17" s="1"/>
  <c r="X16"/>
  <c r="X25" s="1"/>
  <c r="E41" i="10"/>
  <c r="F52" i="4"/>
  <c r="X23" i="11"/>
  <c r="AA23" s="1"/>
  <c r="X17"/>
  <c r="J18" s="1"/>
  <c r="D50" i="2"/>
  <c r="AK78" i="4"/>
  <c r="AJ78"/>
  <c r="AL78" s="1"/>
  <c r="AI78"/>
  <c r="AL75"/>
  <c r="AK73"/>
  <c r="AK74"/>
  <c r="U43" s="1"/>
  <c r="V43" s="1"/>
  <c r="AJ73"/>
  <c r="P42"/>
  <c r="AI73"/>
  <c r="AI74"/>
  <c r="AL72"/>
  <c r="AK70"/>
  <c r="U37" s="1"/>
  <c r="U38" i="2" s="1"/>
  <c r="AJ70" i="4"/>
  <c r="AJ71" s="1"/>
  <c r="AI70"/>
  <c r="AL69"/>
  <c r="AK67"/>
  <c r="AJ67"/>
  <c r="AI67"/>
  <c r="AL67" s="1"/>
  <c r="AI76"/>
  <c r="AA26" i="10"/>
  <c r="T34"/>
  <c r="Z26"/>
  <c r="O34"/>
  <c r="Y26"/>
  <c r="J34" s="1"/>
  <c r="AA23"/>
  <c r="T29" s="1"/>
  <c r="Z23"/>
  <c r="O29"/>
  <c r="Y23"/>
  <c r="J29"/>
  <c r="Y20"/>
  <c r="J22"/>
  <c r="AA20"/>
  <c r="T22"/>
  <c r="Z20"/>
  <c r="O22"/>
  <c r="AN6" i="4"/>
  <c r="T12" s="1"/>
  <c r="E10" i="1"/>
  <c r="E11"/>
  <c r="O12"/>
  <c r="R12" s="1"/>
  <c r="M32" i="2"/>
  <c r="R32"/>
  <c r="M34"/>
  <c r="R34"/>
  <c r="M35"/>
  <c r="R35"/>
  <c r="M38"/>
  <c r="R38"/>
  <c r="M39"/>
  <c r="R39"/>
  <c r="M40"/>
  <c r="R40"/>
  <c r="M43"/>
  <c r="R43"/>
  <c r="M44"/>
  <c r="R44"/>
  <c r="M45"/>
  <c r="R45"/>
  <c r="H34"/>
  <c r="D34" s="1"/>
  <c r="H35"/>
  <c r="D35" s="1"/>
  <c r="H38"/>
  <c r="H39"/>
  <c r="D39"/>
  <c r="H40"/>
  <c r="D40" s="1"/>
  <c r="H43"/>
  <c r="H44"/>
  <c r="H45"/>
  <c r="D45" s="1"/>
  <c r="M31"/>
  <c r="R31"/>
  <c r="H32"/>
  <c r="Q28" i="11"/>
  <c r="L28"/>
  <c r="G28"/>
  <c r="Q23"/>
  <c r="L23"/>
  <c r="G23"/>
  <c r="C23"/>
  <c r="Q19"/>
  <c r="L19"/>
  <c r="G19"/>
  <c r="Q16"/>
  <c r="Q14"/>
  <c r="L16"/>
  <c r="L14"/>
  <c r="G16"/>
  <c r="Q45"/>
  <c r="R20" s="1"/>
  <c r="L45"/>
  <c r="G45"/>
  <c r="S42"/>
  <c r="N42"/>
  <c r="I42"/>
  <c r="E42"/>
  <c r="C42"/>
  <c r="S41"/>
  <c r="N41"/>
  <c r="I41"/>
  <c r="H41"/>
  <c r="E41"/>
  <c r="C41"/>
  <c r="S40"/>
  <c r="N40"/>
  <c r="I40"/>
  <c r="E40"/>
  <c r="C40"/>
  <c r="B40"/>
  <c r="S39"/>
  <c r="N39"/>
  <c r="I39"/>
  <c r="E39"/>
  <c r="C39"/>
  <c r="S38"/>
  <c r="N38"/>
  <c r="I38"/>
  <c r="E38"/>
  <c r="C38"/>
  <c r="T37"/>
  <c r="Q37"/>
  <c r="O37"/>
  <c r="L37"/>
  <c r="J37"/>
  <c r="G37"/>
  <c r="I37" s="1"/>
  <c r="S34"/>
  <c r="T34" s="1"/>
  <c r="N34"/>
  <c r="O34" s="1"/>
  <c r="I34"/>
  <c r="J34" s="1"/>
  <c r="C34"/>
  <c r="S33"/>
  <c r="T33"/>
  <c r="N33"/>
  <c r="O33"/>
  <c r="O45" i="6" s="1"/>
  <c r="Q45" s="1"/>
  <c r="R45" s="1"/>
  <c r="I33" i="11"/>
  <c r="J33" s="1"/>
  <c r="I45" i="6" s="1"/>
  <c r="C33" i="11"/>
  <c r="S32"/>
  <c r="I32"/>
  <c r="S31"/>
  <c r="T31"/>
  <c r="N31"/>
  <c r="O31" s="1"/>
  <c r="I31"/>
  <c r="J31" s="1"/>
  <c r="C31"/>
  <c r="C30"/>
  <c r="C29"/>
  <c r="Q27"/>
  <c r="L27"/>
  <c r="G27"/>
  <c r="S26"/>
  <c r="T26" s="1"/>
  <c r="N26"/>
  <c r="O26" s="1"/>
  <c r="I26"/>
  <c r="J26" s="1"/>
  <c r="C26"/>
  <c r="C25"/>
  <c r="C24"/>
  <c r="Q22"/>
  <c r="L22"/>
  <c r="G22"/>
  <c r="G13" s="1"/>
  <c r="S21"/>
  <c r="T21" s="1"/>
  <c r="N21"/>
  <c r="O21" s="1"/>
  <c r="I21"/>
  <c r="J21" s="1"/>
  <c r="C21"/>
  <c r="S20"/>
  <c r="T20"/>
  <c r="N20"/>
  <c r="I20"/>
  <c r="J20" s="1"/>
  <c r="E20" s="1"/>
  <c r="C20"/>
  <c r="C18"/>
  <c r="C17"/>
  <c r="S15"/>
  <c r="T15"/>
  <c r="N15"/>
  <c r="O15" s="1"/>
  <c r="I15"/>
  <c r="J15" s="1"/>
  <c r="C15"/>
  <c r="AC58" i="6"/>
  <c r="AC59"/>
  <c r="AC60"/>
  <c r="AC61"/>
  <c r="AC62"/>
  <c r="H41" i="4"/>
  <c r="I41" s="1"/>
  <c r="M41"/>
  <c r="N41"/>
  <c r="R41"/>
  <c r="S41"/>
  <c r="R36"/>
  <c r="M36"/>
  <c r="H36"/>
  <c r="R29"/>
  <c r="M29"/>
  <c r="N29"/>
  <c r="H29"/>
  <c r="S31"/>
  <c r="N31"/>
  <c r="I31"/>
  <c r="D31"/>
  <c r="AL6"/>
  <c r="AJ6"/>
  <c r="AH11"/>
  <c r="J10" i="11"/>
  <c r="J9" i="10"/>
  <c r="G22"/>
  <c r="H31" i="2"/>
  <c r="D31" s="1"/>
  <c r="AG15" i="10"/>
  <c r="Q33"/>
  <c r="L33"/>
  <c r="G33"/>
  <c r="H42" i="2"/>
  <c r="Q28" i="10"/>
  <c r="L28"/>
  <c r="M37" i="2" s="1"/>
  <c r="G28" i="10"/>
  <c r="Q21"/>
  <c r="L21"/>
  <c r="Q24"/>
  <c r="L24"/>
  <c r="G24"/>
  <c r="Y27"/>
  <c r="J35"/>
  <c r="Y21"/>
  <c r="J23"/>
  <c r="Z31"/>
  <c r="AA31"/>
  <c r="Y31"/>
  <c r="AA27"/>
  <c r="T35" s="1"/>
  <c r="Z27"/>
  <c r="O35" s="1"/>
  <c r="O33" s="1"/>
  <c r="AA29"/>
  <c r="Z24"/>
  <c r="O30"/>
  <c r="AB22"/>
  <c r="AB25"/>
  <c r="AB28"/>
  <c r="AA21"/>
  <c r="T23" s="1"/>
  <c r="G21"/>
  <c r="AO11" i="4"/>
  <c r="AQ44"/>
  <c r="AN13"/>
  <c r="J20" i="1"/>
  <c r="H20"/>
  <c r="E20"/>
  <c r="J18"/>
  <c r="H18"/>
  <c r="E18"/>
  <c r="J17"/>
  <c r="H17"/>
  <c r="J16"/>
  <c r="H16"/>
  <c r="L20"/>
  <c r="L21" s="1"/>
  <c r="K20"/>
  <c r="K21" s="1"/>
  <c r="K5" i="4"/>
  <c r="AE14" i="10"/>
  <c r="AE13"/>
  <c r="AC15"/>
  <c r="AA13"/>
  <c r="AA14"/>
  <c r="W14"/>
  <c r="W13"/>
  <c r="W15" s="1"/>
  <c r="AL43" i="4"/>
  <c r="AL42"/>
  <c r="AH43"/>
  <c r="AH42"/>
  <c r="AH9"/>
  <c r="AH8"/>
  <c r="AO34"/>
  <c r="AM33"/>
  <c r="AM32"/>
  <c r="AM61"/>
  <c r="AK61"/>
  <c r="AI61"/>
  <c r="AL61"/>
  <c r="F57"/>
  <c r="U53"/>
  <c r="V67"/>
  <c r="T67" s="1"/>
  <c r="Q67"/>
  <c r="P61" i="10" s="1"/>
  <c r="H59"/>
  <c r="M59"/>
  <c r="R59"/>
  <c r="U61" i="4"/>
  <c r="V52"/>
  <c r="P61"/>
  <c r="Q52"/>
  <c r="K61"/>
  <c r="L52"/>
  <c r="D61"/>
  <c r="E31"/>
  <c r="T58"/>
  <c r="S58"/>
  <c r="O58"/>
  <c r="N58"/>
  <c r="J58"/>
  <c r="I58"/>
  <c r="D58"/>
  <c r="T57"/>
  <c r="S57"/>
  <c r="O57"/>
  <c r="N57"/>
  <c r="J57"/>
  <c r="I57"/>
  <c r="D57"/>
  <c r="T56"/>
  <c r="S56"/>
  <c r="O56"/>
  <c r="N56"/>
  <c r="J56"/>
  <c r="I56"/>
  <c r="D56"/>
  <c r="E56"/>
  <c r="T55"/>
  <c r="S55"/>
  <c r="S53" i="2" s="1"/>
  <c r="O55" i="4"/>
  <c r="N55"/>
  <c r="N53" i="2"/>
  <c r="J55" i="4"/>
  <c r="I55"/>
  <c r="D55"/>
  <c r="T54"/>
  <c r="S54"/>
  <c r="O54"/>
  <c r="N54"/>
  <c r="J54"/>
  <c r="I54"/>
  <c r="D54"/>
  <c r="E54" s="1"/>
  <c r="R53"/>
  <c r="P53"/>
  <c r="M53"/>
  <c r="N53" s="1"/>
  <c r="K53"/>
  <c r="H53"/>
  <c r="T50"/>
  <c r="U50" s="1"/>
  <c r="S50"/>
  <c r="O50"/>
  <c r="P50" s="1"/>
  <c r="N50"/>
  <c r="J50"/>
  <c r="K50"/>
  <c r="I50"/>
  <c r="D50"/>
  <c r="T49"/>
  <c r="U49"/>
  <c r="V49" s="1"/>
  <c r="S49"/>
  <c r="O49"/>
  <c r="P49"/>
  <c r="N49"/>
  <c r="J49"/>
  <c r="K49" s="1"/>
  <c r="J57" i="12"/>
  <c r="I49" i="4"/>
  <c r="D49"/>
  <c r="E49" s="1"/>
  <c r="T48"/>
  <c r="S48"/>
  <c r="O48"/>
  <c r="N48"/>
  <c r="J48"/>
  <c r="I48"/>
  <c r="F48"/>
  <c r="D48"/>
  <c r="T47"/>
  <c r="S47"/>
  <c r="O47"/>
  <c r="N47"/>
  <c r="J47"/>
  <c r="I47"/>
  <c r="F47"/>
  <c r="D47"/>
  <c r="T46"/>
  <c r="S46"/>
  <c r="O46"/>
  <c r="N46"/>
  <c r="J46"/>
  <c r="I46"/>
  <c r="F46"/>
  <c r="D46"/>
  <c r="E46"/>
  <c r="U45"/>
  <c r="R45"/>
  <c r="R46" i="2"/>
  <c r="P45" i="4"/>
  <c r="Q45"/>
  <c r="M45"/>
  <c r="M46" i="2"/>
  <c r="K45" i="4"/>
  <c r="H45"/>
  <c r="H46" i="2" s="1"/>
  <c r="D46" s="1"/>
  <c r="T44" i="4"/>
  <c r="U44"/>
  <c r="U45" i="2" s="1"/>
  <c r="S44" i="4"/>
  <c r="O44"/>
  <c r="N44"/>
  <c r="J44"/>
  <c r="I44"/>
  <c r="D44"/>
  <c r="E44" s="1"/>
  <c r="S43"/>
  <c r="N43"/>
  <c r="I43"/>
  <c r="D43"/>
  <c r="E43"/>
  <c r="S42"/>
  <c r="N42"/>
  <c r="I42"/>
  <c r="D42"/>
  <c r="E42" s="1"/>
  <c r="R40"/>
  <c r="S40" s="1"/>
  <c r="M40"/>
  <c r="H40"/>
  <c r="T39"/>
  <c r="S39"/>
  <c r="O39"/>
  <c r="P39" s="1"/>
  <c r="Q39" s="1"/>
  <c r="N39"/>
  <c r="J39"/>
  <c r="I39"/>
  <c r="D39"/>
  <c r="S38"/>
  <c r="N38"/>
  <c r="I38"/>
  <c r="D38"/>
  <c r="E38" s="1"/>
  <c r="S37"/>
  <c r="N37"/>
  <c r="I37"/>
  <c r="D37"/>
  <c r="R35"/>
  <c r="M35"/>
  <c r="H35"/>
  <c r="T34"/>
  <c r="U34"/>
  <c r="S34"/>
  <c r="O34"/>
  <c r="P34" s="1"/>
  <c r="Q34" s="1"/>
  <c r="N34"/>
  <c r="J34"/>
  <c r="K34"/>
  <c r="I34"/>
  <c r="D34"/>
  <c r="T33"/>
  <c r="U33"/>
  <c r="S33"/>
  <c r="O33"/>
  <c r="P33" s="1"/>
  <c r="N33"/>
  <c r="J33"/>
  <c r="K33"/>
  <c r="I33"/>
  <c r="D33"/>
  <c r="R32"/>
  <c r="M32"/>
  <c r="H32"/>
  <c r="H33" i="2"/>
  <c r="S30" i="4"/>
  <c r="N30"/>
  <c r="I30"/>
  <c r="D30"/>
  <c r="E30" s="1"/>
  <c r="T28"/>
  <c r="U28" s="1"/>
  <c r="S28"/>
  <c r="O28"/>
  <c r="P28"/>
  <c r="N28"/>
  <c r="J28"/>
  <c r="K28"/>
  <c r="I28"/>
  <c r="D28"/>
  <c r="E28" s="1"/>
  <c r="T27"/>
  <c r="U27" s="1"/>
  <c r="S27"/>
  <c r="O27"/>
  <c r="P27"/>
  <c r="N27"/>
  <c r="J27"/>
  <c r="K27" s="1"/>
  <c r="I27"/>
  <c r="D27"/>
  <c r="E27"/>
  <c r="T26"/>
  <c r="U26"/>
  <c r="V26" s="1"/>
  <c r="V26" i="2" s="1"/>
  <c r="S26" i="4"/>
  <c r="S26" i="2"/>
  <c r="O26" i="4"/>
  <c r="P26"/>
  <c r="N26"/>
  <c r="N26" i="2"/>
  <c r="J26" i="4"/>
  <c r="K26"/>
  <c r="I26"/>
  <c r="I26" i="2"/>
  <c r="D26" i="4"/>
  <c r="E26"/>
  <c r="E26" i="2" s="1"/>
  <c r="U25" i="4"/>
  <c r="S25"/>
  <c r="S25" i="2"/>
  <c r="P25" i="4"/>
  <c r="N25"/>
  <c r="N25" i="2" s="1"/>
  <c r="K25" i="4"/>
  <c r="K25" i="2" s="1"/>
  <c r="I25" i="4"/>
  <c r="I25" i="2" s="1"/>
  <c r="D25" i="4"/>
  <c r="R24"/>
  <c r="T24"/>
  <c r="M24"/>
  <c r="N24"/>
  <c r="N24" i="2" s="1"/>
  <c r="H24" i="4"/>
  <c r="U23"/>
  <c r="U23" i="2"/>
  <c r="S23" i="4"/>
  <c r="S23" i="2"/>
  <c r="P23" i="4"/>
  <c r="Q23"/>
  <c r="Q23" i="2" s="1"/>
  <c r="N23" i="4"/>
  <c r="N23" i="2" s="1"/>
  <c r="K23" i="4"/>
  <c r="I23"/>
  <c r="I23" i="2"/>
  <c r="D23" i="4"/>
  <c r="U22"/>
  <c r="U22" i="2" s="1"/>
  <c r="S22" i="4"/>
  <c r="S22" i="2" s="1"/>
  <c r="P22" i="4"/>
  <c r="P21" s="1"/>
  <c r="N22"/>
  <c r="N22" i="2" s="1"/>
  <c r="K22" i="4"/>
  <c r="I22"/>
  <c r="I22" i="2"/>
  <c r="D22" i="4"/>
  <c r="E22"/>
  <c r="E22" i="2" s="1"/>
  <c r="R21" i="4"/>
  <c r="M21"/>
  <c r="H21"/>
  <c r="E17" i="9" s="1"/>
  <c r="S20" i="4"/>
  <c r="N20"/>
  <c r="I20"/>
  <c r="D20"/>
  <c r="E20"/>
  <c r="S19"/>
  <c r="N19"/>
  <c r="I19"/>
  <c r="D19"/>
  <c r="E19" s="1"/>
  <c r="R18"/>
  <c r="S18" s="1"/>
  <c r="M18"/>
  <c r="H18"/>
  <c r="U17"/>
  <c r="S17"/>
  <c r="S17" i="2"/>
  <c r="P17" i="4"/>
  <c r="P17" i="2"/>
  <c r="N17" i="4"/>
  <c r="N17" i="2"/>
  <c r="K17" i="4"/>
  <c r="I17"/>
  <c r="I17" i="2" s="1"/>
  <c r="D17" i="4"/>
  <c r="U16"/>
  <c r="U16" i="2"/>
  <c r="S16" i="4"/>
  <c r="S16" i="2"/>
  <c r="P16" i="4"/>
  <c r="N16"/>
  <c r="N16" i="2" s="1"/>
  <c r="K16" i="4"/>
  <c r="I16"/>
  <c r="I16" i="2"/>
  <c r="D16" i="4"/>
  <c r="E16"/>
  <c r="E16" i="2" s="1"/>
  <c r="U15" i="4"/>
  <c r="S15"/>
  <c r="S15" i="2"/>
  <c r="P15" i="4"/>
  <c r="N15"/>
  <c r="N15" i="2" s="1"/>
  <c r="K15" i="4"/>
  <c r="I15"/>
  <c r="I15" i="2"/>
  <c r="D15" i="4"/>
  <c r="U14"/>
  <c r="U14" i="2" s="1"/>
  <c r="S14" i="4"/>
  <c r="S14" i="2" s="1"/>
  <c r="P14" i="4"/>
  <c r="N14"/>
  <c r="N14" i="2"/>
  <c r="K14" i="4"/>
  <c r="F14"/>
  <c r="I14"/>
  <c r="I14" i="2"/>
  <c r="D14" i="4"/>
  <c r="R13"/>
  <c r="M13"/>
  <c r="O13"/>
  <c r="H13"/>
  <c r="S12"/>
  <c r="S12" i="2" s="1"/>
  <c r="O12" i="4"/>
  <c r="N12"/>
  <c r="N12" i="2"/>
  <c r="I12" i="4"/>
  <c r="I12" i="2"/>
  <c r="D12" i="4"/>
  <c r="J42" i="10"/>
  <c r="G42"/>
  <c r="G32"/>
  <c r="H41" i="2" s="1"/>
  <c r="G27" i="10"/>
  <c r="O42"/>
  <c r="P50" i="2"/>
  <c r="L42" i="10"/>
  <c r="L32"/>
  <c r="L27"/>
  <c r="M36" i="2"/>
  <c r="T42" i="10"/>
  <c r="U50" i="2"/>
  <c r="Q42" i="10"/>
  <c r="Q32"/>
  <c r="R41" i="2" s="1"/>
  <c r="Q27" i="10"/>
  <c r="R60"/>
  <c r="R61"/>
  <c r="R52" i="11" s="1"/>
  <c r="M60" i="10"/>
  <c r="M61"/>
  <c r="K61"/>
  <c r="K52" i="11" s="1"/>
  <c r="H60" i="10"/>
  <c r="H61"/>
  <c r="Q52"/>
  <c r="T52" s="1"/>
  <c r="L52"/>
  <c r="O52" s="1"/>
  <c r="G52"/>
  <c r="AG34" i="4"/>
  <c r="AJ28"/>
  <c r="AI28"/>
  <c r="AH28"/>
  <c r="J67"/>
  <c r="J36"/>
  <c r="T64"/>
  <c r="O64"/>
  <c r="J64"/>
  <c r="T63"/>
  <c r="O63"/>
  <c r="J63"/>
  <c r="Q50" i="10"/>
  <c r="R38" s="1"/>
  <c r="S47" i="2" s="1"/>
  <c r="L50" i="10"/>
  <c r="M31" s="1"/>
  <c r="N40" i="2" s="1"/>
  <c r="G50" i="10"/>
  <c r="H29"/>
  <c r="I38" i="2" s="1"/>
  <c r="E49" i="10"/>
  <c r="S47"/>
  <c r="N47"/>
  <c r="I47"/>
  <c r="E47"/>
  <c r="C47"/>
  <c r="S46"/>
  <c r="N46"/>
  <c r="I46"/>
  <c r="E46"/>
  <c r="C46"/>
  <c r="S45"/>
  <c r="N45"/>
  <c r="O53" i="5" s="1"/>
  <c r="I45" i="10"/>
  <c r="H53" i="5" s="1"/>
  <c r="H64" i="12" s="1"/>
  <c r="E45" i="10"/>
  <c r="D53" i="5"/>
  <c r="D64" i="12" s="1"/>
  <c r="C45" i="10"/>
  <c r="S44"/>
  <c r="N44"/>
  <c r="O52" i="5" s="1"/>
  <c r="I44" i="10"/>
  <c r="H52" i="5" s="1"/>
  <c r="H63" i="12" s="1"/>
  <c r="E44" i="10"/>
  <c r="D52" i="5"/>
  <c r="D63" i="12" s="1"/>
  <c r="C44" i="10"/>
  <c r="S43"/>
  <c r="N43"/>
  <c r="I43"/>
  <c r="E43"/>
  <c r="C43"/>
  <c r="S39"/>
  <c r="T39" s="1"/>
  <c r="N39"/>
  <c r="O39" s="1"/>
  <c r="I39"/>
  <c r="J39" s="1"/>
  <c r="K48" i="2" s="1"/>
  <c r="C39" i="10"/>
  <c r="S38"/>
  <c r="T38"/>
  <c r="N38"/>
  <c r="O38"/>
  <c r="I38"/>
  <c r="J38"/>
  <c r="C38"/>
  <c r="S36"/>
  <c r="N36"/>
  <c r="O45" i="2"/>
  <c r="I36" i="10"/>
  <c r="J36"/>
  <c r="C36"/>
  <c r="C35"/>
  <c r="C34"/>
  <c r="S31"/>
  <c r="T31" s="1"/>
  <c r="N31"/>
  <c r="O31" s="1"/>
  <c r="O34" i="5" s="1"/>
  <c r="I31" i="10"/>
  <c r="J31" s="1"/>
  <c r="C31"/>
  <c r="C30"/>
  <c r="C29"/>
  <c r="C28"/>
  <c r="S26"/>
  <c r="T26"/>
  <c r="N26"/>
  <c r="O26"/>
  <c r="I26"/>
  <c r="C26"/>
  <c r="S25"/>
  <c r="T25"/>
  <c r="N25"/>
  <c r="O25"/>
  <c r="I25"/>
  <c r="J25"/>
  <c r="C25"/>
  <c r="C23"/>
  <c r="C22"/>
  <c r="S20"/>
  <c r="T20" s="1"/>
  <c r="N20"/>
  <c r="O20" s="1"/>
  <c r="I20"/>
  <c r="J20" s="1"/>
  <c r="C20"/>
  <c r="S19"/>
  <c r="T19"/>
  <c r="N19"/>
  <c r="O19"/>
  <c r="I19"/>
  <c r="J19"/>
  <c r="C19"/>
  <c r="S18"/>
  <c r="T18" s="1"/>
  <c r="N18"/>
  <c r="O18" s="1"/>
  <c r="I18"/>
  <c r="J18" s="1"/>
  <c r="I12" i="5" s="1"/>
  <c r="C18" i="10"/>
  <c r="C17"/>
  <c r="C16"/>
  <c r="Q15"/>
  <c r="L15"/>
  <c r="L14" s="1"/>
  <c r="G15"/>
  <c r="T58" i="2"/>
  <c r="T53"/>
  <c r="O58"/>
  <c r="O53"/>
  <c r="J58"/>
  <c r="J53"/>
  <c r="M19"/>
  <c r="M20"/>
  <c r="R19"/>
  <c r="R20"/>
  <c r="H52"/>
  <c r="H47"/>
  <c r="J47" s="1"/>
  <c r="H29"/>
  <c r="H28"/>
  <c r="H27"/>
  <c r="J27" s="1"/>
  <c r="H26"/>
  <c r="J26" s="1"/>
  <c r="H25"/>
  <c r="H23"/>
  <c r="J23"/>
  <c r="H22"/>
  <c r="J22"/>
  <c r="H17"/>
  <c r="J17"/>
  <c r="H16"/>
  <c r="J16"/>
  <c r="H15"/>
  <c r="J15"/>
  <c r="H14"/>
  <c r="J14"/>
  <c r="M55"/>
  <c r="M56"/>
  <c r="O56" s="1"/>
  <c r="M54"/>
  <c r="O54" s="1"/>
  <c r="M52"/>
  <c r="O52" s="1"/>
  <c r="M48"/>
  <c r="O48" s="1"/>
  <c r="M47"/>
  <c r="O47" s="1"/>
  <c r="M29"/>
  <c r="M28"/>
  <c r="M27"/>
  <c r="O27" s="1"/>
  <c r="M26"/>
  <c r="O26" s="1"/>
  <c r="M25"/>
  <c r="O25" s="1"/>
  <c r="M23"/>
  <c r="O23" s="1"/>
  <c r="M22"/>
  <c r="M17"/>
  <c r="M16"/>
  <c r="O16" s="1"/>
  <c r="M15"/>
  <c r="O15" s="1"/>
  <c r="M14"/>
  <c r="O14" s="1"/>
  <c r="M12"/>
  <c r="P56"/>
  <c r="P54"/>
  <c r="P52"/>
  <c r="R55"/>
  <c r="R56"/>
  <c r="T56"/>
  <c r="R54"/>
  <c r="T54"/>
  <c r="R52"/>
  <c r="T52"/>
  <c r="R48"/>
  <c r="T48"/>
  <c r="R47"/>
  <c r="T47"/>
  <c r="R29"/>
  <c r="R27"/>
  <c r="T27" s="1"/>
  <c r="R12"/>
  <c r="R14"/>
  <c r="T14" s="1"/>
  <c r="R15"/>
  <c r="T15" s="1"/>
  <c r="R16"/>
  <c r="T16" s="1"/>
  <c r="R17"/>
  <c r="T17" s="1"/>
  <c r="R22"/>
  <c r="T22" s="1"/>
  <c r="R23"/>
  <c r="T23" s="1"/>
  <c r="R25"/>
  <c r="R26"/>
  <c r="T26" s="1"/>
  <c r="U56"/>
  <c r="U54"/>
  <c r="U55"/>
  <c r="U52"/>
  <c r="I67" i="3"/>
  <c r="K67" s="1"/>
  <c r="I65"/>
  <c r="I63"/>
  <c r="K63" s="1"/>
  <c r="O67"/>
  <c r="Q67" s="1"/>
  <c r="O66"/>
  <c r="Q66" s="1"/>
  <c r="O65"/>
  <c r="O63"/>
  <c r="U67"/>
  <c r="U65"/>
  <c r="U63"/>
  <c r="I17" i="9"/>
  <c r="S17" s="1"/>
  <c r="O53" i="6"/>
  <c r="Q53" s="1"/>
  <c r="O50"/>
  <c r="Q50" s="1"/>
  <c r="U51"/>
  <c r="V51" s="1"/>
  <c r="AA51" s="1"/>
  <c r="U52"/>
  <c r="W52" s="1"/>
  <c r="U54"/>
  <c r="W54" s="1"/>
  <c r="B45" i="10"/>
  <c r="R59" i="2"/>
  <c r="M59"/>
  <c r="H59"/>
  <c r="C11" i="9"/>
  <c r="E19"/>
  <c r="O19" s="1"/>
  <c r="G19"/>
  <c r="Q19" s="1"/>
  <c r="I19"/>
  <c r="S19" s="1"/>
  <c r="C20"/>
  <c r="M20" s="1"/>
  <c r="O20"/>
  <c r="Q20"/>
  <c r="S20"/>
  <c r="C21"/>
  <c r="D21"/>
  <c r="F21"/>
  <c r="P21"/>
  <c r="H21"/>
  <c r="J21"/>
  <c r="O21"/>
  <c r="Q21"/>
  <c r="S21"/>
  <c r="M22"/>
  <c r="O22"/>
  <c r="Q22"/>
  <c r="S22"/>
  <c r="M23"/>
  <c r="O23"/>
  <c r="Q23"/>
  <c r="S23"/>
  <c r="M24"/>
  <c r="O24"/>
  <c r="Q24"/>
  <c r="S24"/>
  <c r="C25"/>
  <c r="M25" s="1"/>
  <c r="N25"/>
  <c r="O25"/>
  <c r="P25"/>
  <c r="Q25"/>
  <c r="R25"/>
  <c r="S25"/>
  <c r="T25"/>
  <c r="M26"/>
  <c r="O26"/>
  <c r="Q26"/>
  <c r="S26"/>
  <c r="M27"/>
  <c r="O27"/>
  <c r="Q27"/>
  <c r="S27"/>
  <c r="M28"/>
  <c r="O28"/>
  <c r="Q28"/>
  <c r="S28"/>
  <c r="M29"/>
  <c r="N29"/>
  <c r="O29"/>
  <c r="Q29"/>
  <c r="R29"/>
  <c r="S29"/>
  <c r="T29"/>
  <c r="M31"/>
  <c r="N31"/>
  <c r="O31"/>
  <c r="P31"/>
  <c r="Q31"/>
  <c r="R31"/>
  <c r="S31"/>
  <c r="T31"/>
  <c r="M34"/>
  <c r="O34"/>
  <c r="Q34"/>
  <c r="S34"/>
  <c r="M35"/>
  <c r="O35"/>
  <c r="Q35"/>
  <c r="S35"/>
  <c r="M36"/>
  <c r="O36"/>
  <c r="Q36"/>
  <c r="S36"/>
  <c r="M37"/>
  <c r="N37"/>
  <c r="O37"/>
  <c r="P37"/>
  <c r="Q37"/>
  <c r="R37"/>
  <c r="S37"/>
  <c r="T37"/>
  <c r="M41"/>
  <c r="O41"/>
  <c r="Q41"/>
  <c r="S41"/>
  <c r="M42"/>
  <c r="O42"/>
  <c r="Q42"/>
  <c r="S42"/>
  <c r="M43"/>
  <c r="O43"/>
  <c r="Q43"/>
  <c r="S43"/>
  <c r="M44"/>
  <c r="N44"/>
  <c r="O44"/>
  <c r="P44"/>
  <c r="Q44"/>
  <c r="R44"/>
  <c r="S44"/>
  <c r="T44"/>
  <c r="M46"/>
  <c r="O46"/>
  <c r="Q46"/>
  <c r="S46"/>
  <c r="M47"/>
  <c r="O47"/>
  <c r="Q47"/>
  <c r="S47"/>
  <c r="M48"/>
  <c r="O48"/>
  <c r="Q48"/>
  <c r="S48"/>
  <c r="M49"/>
  <c r="N49"/>
  <c r="O49"/>
  <c r="P49"/>
  <c r="Q49"/>
  <c r="R49"/>
  <c r="S49"/>
  <c r="T49"/>
  <c r="M50"/>
  <c r="O50"/>
  <c r="Q50"/>
  <c r="S50"/>
  <c r="M51"/>
  <c r="O51"/>
  <c r="Q51"/>
  <c r="S51"/>
  <c r="M52"/>
  <c r="O52"/>
  <c r="Q52"/>
  <c r="S52"/>
  <c r="B8" i="8"/>
  <c r="C13"/>
  <c r="A6" i="7"/>
  <c r="E11"/>
  <c r="C12"/>
  <c r="C27"/>
  <c r="B53" i="5"/>
  <c r="B52" i="6" s="1"/>
  <c r="B13" i="3"/>
  <c r="B14"/>
  <c r="B65"/>
  <c r="B67"/>
  <c r="B22" i="2"/>
  <c r="B23"/>
  <c r="B25"/>
  <c r="B26"/>
  <c r="B27"/>
  <c r="B54"/>
  <c r="O65"/>
  <c r="I53" i="5"/>
  <c r="O51" i="6"/>
  <c r="P51" s="1"/>
  <c r="O52"/>
  <c r="O54"/>
  <c r="U53"/>
  <c r="W53" s="1"/>
  <c r="X53" s="1"/>
  <c r="AC53" s="1"/>
  <c r="U50"/>
  <c r="W50" s="1"/>
  <c r="X50" s="1"/>
  <c r="P55" i="2"/>
  <c r="I52" i="5"/>
  <c r="D53" i="2"/>
  <c r="F53"/>
  <c r="I53" i="6"/>
  <c r="K53" s="1"/>
  <c r="L53" s="1"/>
  <c r="I52"/>
  <c r="K52" s="1"/>
  <c r="I51"/>
  <c r="K51" s="1"/>
  <c r="K52" i="2"/>
  <c r="I54" i="6"/>
  <c r="J54" s="1"/>
  <c r="K56" i="2"/>
  <c r="K54"/>
  <c r="F54"/>
  <c r="I50" i="6"/>
  <c r="K50"/>
  <c r="E10" i="9"/>
  <c r="F58" i="4"/>
  <c r="F54"/>
  <c r="F55"/>
  <c r="F56"/>
  <c r="I66" i="3"/>
  <c r="K55" i="2"/>
  <c r="H19"/>
  <c r="D19" s="1"/>
  <c r="H20"/>
  <c r="H12"/>
  <c r="H55"/>
  <c r="J55" s="1"/>
  <c r="H56"/>
  <c r="J56" s="1"/>
  <c r="H54"/>
  <c r="J54" s="1"/>
  <c r="H48"/>
  <c r="J48" s="1"/>
  <c r="U66" i="3"/>
  <c r="U65" i="12" s="1"/>
  <c r="I24" i="4"/>
  <c r="I24" i="2" s="1"/>
  <c r="N18" i="4"/>
  <c r="C37" i="10"/>
  <c r="K23" i="2"/>
  <c r="I37" i="10"/>
  <c r="H45" i="5"/>
  <c r="J37" i="10"/>
  <c r="O67" i="4"/>
  <c r="O41" s="1"/>
  <c r="F28" i="9"/>
  <c r="P28" s="1"/>
  <c r="J45" i="4"/>
  <c r="H57" i="3" s="1"/>
  <c r="R21" i="2"/>
  <c r="T21" s="1"/>
  <c r="M51"/>
  <c r="H11" i="4"/>
  <c r="I11"/>
  <c r="I11" i="2" s="1"/>
  <c r="I57" i="3"/>
  <c r="N37" i="10"/>
  <c r="O37"/>
  <c r="P46" i="2" s="1"/>
  <c r="O24" i="4"/>
  <c r="M24" i="2"/>
  <c r="O24" s="1"/>
  <c r="U61" i="10"/>
  <c r="S61" s="1"/>
  <c r="K17" i="2"/>
  <c r="Q53" i="4"/>
  <c r="AH61"/>
  <c r="Y15" i="10"/>
  <c r="AI15" s="1"/>
  <c r="K15" i="2"/>
  <c r="U15"/>
  <c r="R21" i="9"/>
  <c r="H28"/>
  <c r="R28"/>
  <c r="C19"/>
  <c r="M19"/>
  <c r="J30" i="4"/>
  <c r="J38"/>
  <c r="J37"/>
  <c r="J43"/>
  <c r="J42"/>
  <c r="I32"/>
  <c r="C24" i="10"/>
  <c r="C42"/>
  <c r="C32"/>
  <c r="R13" i="2"/>
  <c r="T13" s="1"/>
  <c r="S13" i="4"/>
  <c r="S13" i="2" s="1"/>
  <c r="U17"/>
  <c r="C27" i="10"/>
  <c r="N13" i="4"/>
  <c r="N13" i="2" s="1"/>
  <c r="I42" i="10"/>
  <c r="E12" i="4"/>
  <c r="E12" i="2"/>
  <c r="S37" i="10"/>
  <c r="T37"/>
  <c r="J21" i="4"/>
  <c r="I40"/>
  <c r="C21" i="10"/>
  <c r="N15"/>
  <c r="AA15"/>
  <c r="AC16"/>
  <c r="AE15"/>
  <c r="AG16"/>
  <c r="Z29"/>
  <c r="AB26"/>
  <c r="AA24"/>
  <c r="AA30"/>
  <c r="F53" i="4"/>
  <c r="E15"/>
  <c r="E15" i="2" s="1"/>
  <c r="M13"/>
  <c r="O13" s="1"/>
  <c r="E17" i="7"/>
  <c r="F17" s="1"/>
  <c r="G21"/>
  <c r="O53" i="4"/>
  <c r="Q58"/>
  <c r="I16" i="9"/>
  <c r="S16"/>
  <c r="I45" i="4"/>
  <c r="G57" i="3"/>
  <c r="M11" i="4"/>
  <c r="O45"/>
  <c r="N57" i="3" s="1"/>
  <c r="N56" i="12" s="1"/>
  <c r="U13" i="4"/>
  <c r="U13" i="2"/>
  <c r="E17" i="4"/>
  <c r="E17" i="2"/>
  <c r="E23" i="4"/>
  <c r="E23" i="2"/>
  <c r="E33" i="4"/>
  <c r="E34"/>
  <c r="E50"/>
  <c r="E55"/>
  <c r="O29"/>
  <c r="J31"/>
  <c r="J29"/>
  <c r="I21"/>
  <c r="I21" i="2" s="1"/>
  <c r="D45" i="4"/>
  <c r="E45" s="1"/>
  <c r="L53"/>
  <c r="G11" i="7"/>
  <c r="O21" i="4"/>
  <c r="AG28"/>
  <c r="AI30"/>
  <c r="E25"/>
  <c r="E25" i="2"/>
  <c r="E37" i="4"/>
  <c r="E39"/>
  <c r="E47"/>
  <c r="E58"/>
  <c r="AM34"/>
  <c r="AS36"/>
  <c r="AL44"/>
  <c r="AN49"/>
  <c r="H13" i="2"/>
  <c r="D13" i="4"/>
  <c r="E13" s="1"/>
  <c r="E13" i="2" s="1"/>
  <c r="T13" i="4"/>
  <c r="R11"/>
  <c r="R10" s="1"/>
  <c r="K14" i="2"/>
  <c r="Q14" i="4"/>
  <c r="Q14" i="2"/>
  <c r="G16" i="9"/>
  <c r="M18" i="2"/>
  <c r="S21" i="4"/>
  <c r="S21" i="2"/>
  <c r="P22"/>
  <c r="Q22" i="4"/>
  <c r="Q22" i="2" s="1"/>
  <c r="E57" i="4"/>
  <c r="E48"/>
  <c r="E14"/>
  <c r="E14" i="2" s="1"/>
  <c r="O61" i="4"/>
  <c r="P59" i="2"/>
  <c r="Q55" i="4"/>
  <c r="Q53" i="2" s="1"/>
  <c r="Q46" i="4"/>
  <c r="Q47"/>
  <c r="Q48"/>
  <c r="Q56"/>
  <c r="Q54"/>
  <c r="Q17"/>
  <c r="Q17" i="2"/>
  <c r="U21" i="4"/>
  <c r="I18" i="7"/>
  <c r="U13" i="3"/>
  <c r="O57"/>
  <c r="S53" i="4"/>
  <c r="R51" i="2"/>
  <c r="K59"/>
  <c r="AQ33" i="4"/>
  <c r="AR33"/>
  <c r="L66" s="1"/>
  <c r="J66" s="1"/>
  <c r="J20" s="1"/>
  <c r="K20" s="1"/>
  <c r="L20" s="1"/>
  <c r="O37"/>
  <c r="O42"/>
  <c r="O38"/>
  <c r="O30"/>
  <c r="AH30"/>
  <c r="I13"/>
  <c r="I13" i="2"/>
  <c r="J13" i="4"/>
  <c r="F22"/>
  <c r="P23" i="2"/>
  <c r="R24"/>
  <c r="T24" s="1"/>
  <c r="S24" i="4"/>
  <c r="S24" i="2" s="1"/>
  <c r="V22" i="4"/>
  <c r="V22" i="2" s="1"/>
  <c r="N11" i="4"/>
  <c r="N11" i="2" s="1"/>
  <c r="H21"/>
  <c r="J21" s="1"/>
  <c r="H24"/>
  <c r="J24" s="1"/>
  <c r="T21" i="4"/>
  <c r="Q25"/>
  <c r="Q25" i="2"/>
  <c r="S45" i="4"/>
  <c r="S57" i="3"/>
  <c r="T45" i="4"/>
  <c r="T57" i="3"/>
  <c r="J53" i="4"/>
  <c r="E21" i="7"/>
  <c r="I21"/>
  <c r="D53" i="4"/>
  <c r="E53" s="1"/>
  <c r="M11" i="2"/>
  <c r="G15" i="9"/>
  <c r="AJ33" i="4"/>
  <c r="U21" i="2"/>
  <c r="R32" i="11"/>
  <c r="L13"/>
  <c r="L35"/>
  <c r="C28"/>
  <c r="H23"/>
  <c r="H17"/>
  <c r="R18"/>
  <c r="H21"/>
  <c r="H24"/>
  <c r="R25"/>
  <c r="H27"/>
  <c r="R33"/>
  <c r="R16"/>
  <c r="C27"/>
  <c r="H32"/>
  <c r="M29"/>
  <c r="N32"/>
  <c r="N37"/>
  <c r="H31"/>
  <c r="C32"/>
  <c r="E32"/>
  <c r="C37"/>
  <c r="S37"/>
  <c r="M38"/>
  <c r="H40"/>
  <c r="M41"/>
  <c r="H19"/>
  <c r="C45"/>
  <c r="D17"/>
  <c r="R38"/>
  <c r="R27"/>
  <c r="R42"/>
  <c r="R29"/>
  <c r="H28"/>
  <c r="J28" i="9"/>
  <c r="T28" s="1"/>
  <c r="T21"/>
  <c r="C33" i="10"/>
  <c r="M21" i="9"/>
  <c r="J25" i="2"/>
  <c r="Q14" i="10"/>
  <c r="R18" i="2"/>
  <c r="S15" i="10"/>
  <c r="S11" i="4"/>
  <c r="S11" i="2" s="1"/>
  <c r="O22"/>
  <c r="H37" i="10"/>
  <c r="I46" i="2"/>
  <c r="H15" i="10"/>
  <c r="H33"/>
  <c r="H46"/>
  <c r="I55" i="2" s="1"/>
  <c r="H17" i="10"/>
  <c r="I20" i="2" s="1"/>
  <c r="H45" i="10"/>
  <c r="H47"/>
  <c r="H39"/>
  <c r="T34" i="2"/>
  <c r="O46"/>
  <c r="K44" i="4"/>
  <c r="P44"/>
  <c r="Q44" s="1"/>
  <c r="I29"/>
  <c r="S29"/>
  <c r="N36"/>
  <c r="D41"/>
  <c r="E41"/>
  <c r="R34" i="11"/>
  <c r="R28"/>
  <c r="M42" i="2"/>
  <c r="G14" i="11"/>
  <c r="M30" i="2"/>
  <c r="T35"/>
  <c r="J34"/>
  <c r="C16" i="11"/>
  <c r="S32" i="4"/>
  <c r="N35"/>
  <c r="D29" i="11"/>
  <c r="Q12" i="10"/>
  <c r="Q40" s="1"/>
  <c r="Q58" s="1"/>
  <c r="Q13"/>
  <c r="L44" i="4"/>
  <c r="U12" i="2"/>
  <c r="T12" s="1"/>
  <c r="U11" i="4"/>
  <c r="V11" s="1"/>
  <c r="V11" i="2" s="1"/>
  <c r="M17" i="11"/>
  <c r="M37"/>
  <c r="M22"/>
  <c r="D32"/>
  <c r="M26"/>
  <c r="M16"/>
  <c r="M27"/>
  <c r="D37"/>
  <c r="M19"/>
  <c r="M42"/>
  <c r="M21"/>
  <c r="M23"/>
  <c r="H34"/>
  <c r="I45" i="5"/>
  <c r="T46" i="2"/>
  <c r="R47" i="10"/>
  <c r="S56" i="2" s="1"/>
  <c r="O59"/>
  <c r="R23" i="10"/>
  <c r="S32" i="2" s="1"/>
  <c r="R19" i="10"/>
  <c r="S28" i="2" s="1"/>
  <c r="U52" i="11"/>
  <c r="P25" i="2"/>
  <c r="F23" i="4"/>
  <c r="P14" i="2"/>
  <c r="F14" s="1"/>
  <c r="R30" i="10"/>
  <c r="S39" i="2" s="1"/>
  <c r="J46"/>
  <c r="R39" i="10"/>
  <c r="S48" i="2" s="1"/>
  <c r="R29" i="10"/>
  <c r="R24"/>
  <c r="D43" i="2"/>
  <c r="Q51" i="10"/>
  <c r="T51" s="1"/>
  <c r="R15"/>
  <c r="M45"/>
  <c r="D23" i="2"/>
  <c r="R21" i="10"/>
  <c r="S30" i="2" s="1"/>
  <c r="D38"/>
  <c r="D16"/>
  <c r="R16" i="10"/>
  <c r="S19" i="2" s="1"/>
  <c r="R42" i="10"/>
  <c r="R32"/>
  <c r="R22"/>
  <c r="T55" i="2"/>
  <c r="D14"/>
  <c r="H30" i="10"/>
  <c r="H20"/>
  <c r="H24"/>
  <c r="I33" i="2" s="1"/>
  <c r="H28" i="10"/>
  <c r="I37" i="2" s="1"/>
  <c r="M23" i="10"/>
  <c r="G51"/>
  <c r="J51" s="1"/>
  <c r="D32" i="2"/>
  <c r="J59"/>
  <c r="M20" i="10"/>
  <c r="J50"/>
  <c r="K41"/>
  <c r="H18"/>
  <c r="I27" i="2"/>
  <c r="H38" i="10"/>
  <c r="H22"/>
  <c r="I31" i="2" s="1"/>
  <c r="D22"/>
  <c r="M16" i="10"/>
  <c r="N19" i="2" s="1"/>
  <c r="AL13" i="4"/>
  <c r="Q15" i="9"/>
  <c r="Y51" i="2"/>
  <c r="R37" i="10"/>
  <c r="S46" i="2" s="1"/>
  <c r="R33" i="10"/>
  <c r="S42" i="2" s="1"/>
  <c r="R20" i="10"/>
  <c r="R35"/>
  <c r="R44"/>
  <c r="U52" i="5" s="1"/>
  <c r="R28" i="10"/>
  <c r="R45"/>
  <c r="U53" i="5"/>
  <c r="R43" i="10"/>
  <c r="S52" i="2"/>
  <c r="R25" i="10"/>
  <c r="R36"/>
  <c r="R26"/>
  <c r="R46"/>
  <c r="R17"/>
  <c r="S20" i="2"/>
  <c r="R31" i="10"/>
  <c r="T50"/>
  <c r="U41" s="1"/>
  <c r="R14"/>
  <c r="G10" i="9"/>
  <c r="H15" s="1"/>
  <c r="R15" s="1"/>
  <c r="M17" i="10"/>
  <c r="N20" i="2" s="1"/>
  <c r="M25" i="10"/>
  <c r="M42"/>
  <c r="M39"/>
  <c r="M34"/>
  <c r="N43" i="2" s="1"/>
  <c r="H52" i="11"/>
  <c r="D12" i="2"/>
  <c r="O55"/>
  <c r="D54"/>
  <c r="D55"/>
  <c r="R13" i="10"/>
  <c r="J13" i="2"/>
  <c r="R18" i="10"/>
  <c r="S27" i="2" s="1"/>
  <c r="R27" i="10"/>
  <c r="R34"/>
  <c r="S43" i="2" s="1"/>
  <c r="D15"/>
  <c r="C21" i="7"/>
  <c r="H36" i="10"/>
  <c r="I45" i="2" s="1"/>
  <c r="H34" i="10"/>
  <c r="H16"/>
  <c r="I19" i="2" s="1"/>
  <c r="D26"/>
  <c r="H44" i="10"/>
  <c r="G52" i="5"/>
  <c r="I36" i="4"/>
  <c r="H37" i="2"/>
  <c r="D36" i="4"/>
  <c r="E36"/>
  <c r="O20" i="11"/>
  <c r="O34" i="2"/>
  <c r="E37" i="11"/>
  <c r="R33" i="2"/>
  <c r="C19" i="11"/>
  <c r="Q13"/>
  <c r="R19"/>
  <c r="S33" i="2"/>
  <c r="Q16" i="9"/>
  <c r="D40" i="4"/>
  <c r="E40" s="1"/>
  <c r="M41" i="2"/>
  <c r="N40" i="4"/>
  <c r="M52" i="11"/>
  <c r="U51" i="2"/>
  <c r="T51" s="1"/>
  <c r="S42" i="10"/>
  <c r="N42"/>
  <c r="P51" i="2"/>
  <c r="E42" i="10"/>
  <c r="K51" i="2"/>
  <c r="F15" i="4"/>
  <c r="G15" s="1"/>
  <c r="G15" i="2" s="1"/>
  <c r="P15"/>
  <c r="F15" s="1"/>
  <c r="Q15" i="4"/>
  <c r="Q15" i="2"/>
  <c r="P13" i="4"/>
  <c r="P11"/>
  <c r="D20" i="2"/>
  <c r="T25"/>
  <c r="D25"/>
  <c r="D29"/>
  <c r="I11" i="7"/>
  <c r="V47" i="4"/>
  <c r="V55"/>
  <c r="T61"/>
  <c r="V56"/>
  <c r="V53"/>
  <c r="V21"/>
  <c r="V21" i="2"/>
  <c r="V57" i="4"/>
  <c r="V58"/>
  <c r="U59" i="2"/>
  <c r="W55" s="1"/>
  <c r="V14" i="4"/>
  <c r="V14" i="2"/>
  <c r="V46" i="4"/>
  <c r="V15"/>
  <c r="V15" i="2" s="1"/>
  <c r="V48" i="4"/>
  <c r="V17"/>
  <c r="V17" i="2"/>
  <c r="V16" i="4"/>
  <c r="V16" i="2"/>
  <c r="V54" i="4"/>
  <c r="V13"/>
  <c r="V13" i="2" s="1"/>
  <c r="F61" i="4"/>
  <c r="V23"/>
  <c r="V23" i="2"/>
  <c r="AH44" i="4"/>
  <c r="AJ49"/>
  <c r="I16" i="7"/>
  <c r="J16" s="1"/>
  <c r="AB27" i="10"/>
  <c r="K39" i="4"/>
  <c r="K40" i="2" s="1"/>
  <c r="J40"/>
  <c r="T45"/>
  <c r="T36" i="10"/>
  <c r="H27"/>
  <c r="H32"/>
  <c r="I41" i="2" s="1"/>
  <c r="H43" i="10"/>
  <c r="H19"/>
  <c r="I28" i="2" s="1"/>
  <c r="H21" i="10"/>
  <c r="H31"/>
  <c r="H42"/>
  <c r="H26"/>
  <c r="I35" i="2" s="1"/>
  <c r="H25" i="10"/>
  <c r="H35"/>
  <c r="H23"/>
  <c r="Q16" i="4"/>
  <c r="Q16" i="2"/>
  <c r="P16"/>
  <c r="D18" i="4"/>
  <c r="E18" s="1"/>
  <c r="H18" i="2"/>
  <c r="D18" s="1"/>
  <c r="I18" i="4"/>
  <c r="I18" i="2" s="1"/>
  <c r="E16" i="9"/>
  <c r="H10" i="4"/>
  <c r="S35"/>
  <c r="R36" i="2"/>
  <c r="V45" i="4"/>
  <c r="U57" i="3"/>
  <c r="AB23" i="10"/>
  <c r="Y24"/>
  <c r="Y29"/>
  <c r="AB29" s="1"/>
  <c r="J12" i="4"/>
  <c r="K12" s="1"/>
  <c r="AJ13"/>
  <c r="AH13" s="1"/>
  <c r="C22" i="11"/>
  <c r="J35" i="2"/>
  <c r="AQ32" i="4"/>
  <c r="AR32" s="1"/>
  <c r="L65" s="1"/>
  <c r="J65" s="1"/>
  <c r="J19" s="1"/>
  <c r="K19" s="1"/>
  <c r="AQ35"/>
  <c r="AI32"/>
  <c r="AI34" s="1"/>
  <c r="AI35" s="1"/>
  <c r="AI33"/>
  <c r="AH33"/>
  <c r="AJ30"/>
  <c r="AJ32"/>
  <c r="AJ34" s="1"/>
  <c r="AJ35" s="1"/>
  <c r="AH32"/>
  <c r="AH34" s="1"/>
  <c r="AH35" s="1"/>
  <c r="J52" i="2"/>
  <c r="G14" i="10"/>
  <c r="G12"/>
  <c r="I15"/>
  <c r="C15"/>
  <c r="U25" i="2"/>
  <c r="W25"/>
  <c r="V25" i="4"/>
  <c r="V25" i="2"/>
  <c r="F25" i="4"/>
  <c r="D32"/>
  <c r="E32" s="1"/>
  <c r="N32"/>
  <c r="M33" i="2"/>
  <c r="U39" i="4"/>
  <c r="V39" s="1"/>
  <c r="T40" i="2"/>
  <c r="S36" i="4"/>
  <c r="R37" i="2"/>
  <c r="F23"/>
  <c r="V12" i="4"/>
  <c r="V12" i="2"/>
  <c r="F52"/>
  <c r="J52" i="10"/>
  <c r="L16" i="4"/>
  <c r="L16" i="2"/>
  <c r="F16" i="4"/>
  <c r="G16"/>
  <c r="G16" i="2" s="1"/>
  <c r="K16"/>
  <c r="K13" i="4"/>
  <c r="L17"/>
  <c r="L17" i="2" s="1"/>
  <c r="F17" i="4"/>
  <c r="G17" s="1"/>
  <c r="G17" i="2" s="1"/>
  <c r="M21"/>
  <c r="O21" s="1"/>
  <c r="G17" i="9"/>
  <c r="G14" s="1"/>
  <c r="M10" i="4"/>
  <c r="N21"/>
  <c r="N21" i="2" s="1"/>
  <c r="D21" i="4"/>
  <c r="E21" s="1"/>
  <c r="E21" i="2" s="1"/>
  <c r="K21" i="4"/>
  <c r="K22" i="2"/>
  <c r="L22" i="4"/>
  <c r="L22" i="2"/>
  <c r="J24" i="4"/>
  <c r="D24"/>
  <c r="E24" s="1"/>
  <c r="E24" i="2"/>
  <c r="I35" i="4"/>
  <c r="H36" i="2"/>
  <c r="D35" i="4"/>
  <c r="E35"/>
  <c r="F45"/>
  <c r="G45"/>
  <c r="L45"/>
  <c r="K46" i="2"/>
  <c r="L25" i="4"/>
  <c r="L25" i="2"/>
  <c r="L47" i="4"/>
  <c r="L23"/>
  <c r="L23" i="2" s="1"/>
  <c r="L14" i="4"/>
  <c r="L14" i="2" s="1"/>
  <c r="L55" i="4"/>
  <c r="L46"/>
  <c r="L56"/>
  <c r="L15"/>
  <c r="L15" i="2"/>
  <c r="L57" i="4"/>
  <c r="L48"/>
  <c r="J61"/>
  <c r="L54"/>
  <c r="L58"/>
  <c r="AB20" i="10"/>
  <c r="Z21"/>
  <c r="O23"/>
  <c r="Q12" i="4"/>
  <c r="Q12" i="2"/>
  <c r="P12"/>
  <c r="O12" s="1"/>
  <c r="J41" i="4"/>
  <c r="J26" i="10"/>
  <c r="E26" s="1"/>
  <c r="U45"/>
  <c r="F59" i="2"/>
  <c r="U43" i="10"/>
  <c r="K43"/>
  <c r="K37"/>
  <c r="K47"/>
  <c r="K44"/>
  <c r="U22"/>
  <c r="U47"/>
  <c r="K42"/>
  <c r="K46"/>
  <c r="K45"/>
  <c r="K18"/>
  <c r="L27" i="2" s="1"/>
  <c r="U44" i="10"/>
  <c r="U42"/>
  <c r="U46"/>
  <c r="H14"/>
  <c r="G13"/>
  <c r="H13" s="1"/>
  <c r="G56" i="4"/>
  <c r="C14" i="11"/>
  <c r="K21" i="2"/>
  <c r="L21" i="4"/>
  <c r="L21" i="2"/>
  <c r="E18" i="7"/>
  <c r="I13" i="3"/>
  <c r="L13" i="4"/>
  <c r="L13" i="2"/>
  <c r="F13" i="4"/>
  <c r="G13"/>
  <c r="G13" i="2" s="1"/>
  <c r="K13"/>
  <c r="O51"/>
  <c r="W23"/>
  <c r="P11"/>
  <c r="O11" s="1"/>
  <c r="U36" i="10"/>
  <c r="Z30"/>
  <c r="N10" i="4"/>
  <c r="M8"/>
  <c r="M9"/>
  <c r="N9" s="1"/>
  <c r="H9"/>
  <c r="I9" s="1"/>
  <c r="D10"/>
  <c r="W17" i="2"/>
  <c r="T59"/>
  <c r="W15"/>
  <c r="Q13" i="4"/>
  <c r="Q13" i="2" s="1"/>
  <c r="P13"/>
  <c r="N8" i="4"/>
  <c r="M51"/>
  <c r="M59" s="1"/>
  <c r="N59" s="1"/>
  <c r="N60" s="1"/>
  <c r="W38" i="2"/>
  <c r="O21" i="10"/>
  <c r="O28"/>
  <c r="W12" i="2"/>
  <c r="U11"/>
  <c r="T11" i="4"/>
  <c r="J64" i="3"/>
  <c r="J67"/>
  <c r="P53" i="6"/>
  <c r="D48" i="2"/>
  <c r="U49" i="6"/>
  <c r="W49" s="1"/>
  <c r="P52"/>
  <c r="AA56" i="12"/>
  <c r="U62" i="3"/>
  <c r="AN43" i="4"/>
  <c r="AN54"/>
  <c r="AN42"/>
  <c r="K27" i="2"/>
  <c r="Q28" i="4"/>
  <c r="O29" i="3"/>
  <c r="I59"/>
  <c r="U33" i="6"/>
  <c r="V33" s="1"/>
  <c r="AA33" s="1"/>
  <c r="P24" i="4"/>
  <c r="P24" i="2" s="1"/>
  <c r="G52" i="4"/>
  <c r="L12" i="10"/>
  <c r="L13"/>
  <c r="T24"/>
  <c r="S24"/>
  <c r="Q26" i="4"/>
  <c r="Q26" i="2"/>
  <c r="P26"/>
  <c r="Q27" i="4"/>
  <c r="F44"/>
  <c r="G44"/>
  <c r="U45" i="6"/>
  <c r="W45"/>
  <c r="X45" s="1"/>
  <c r="AC45" s="1"/>
  <c r="U47" i="2"/>
  <c r="W47"/>
  <c r="L51" i="11"/>
  <c r="U46" i="2"/>
  <c r="U45" i="5"/>
  <c r="E37" i="10"/>
  <c r="D45" i="5"/>
  <c r="L33" i="4"/>
  <c r="O58" i="3"/>
  <c r="Q58"/>
  <c r="Q49" i="4"/>
  <c r="T19" i="11"/>
  <c r="S19" s="1"/>
  <c r="E20" i="10"/>
  <c r="F26" i="4"/>
  <c r="G26"/>
  <c r="G26" i="2" s="1"/>
  <c r="K24" i="4"/>
  <c r="L26"/>
  <c r="L26" i="2" s="1"/>
  <c r="K26"/>
  <c r="U26"/>
  <c r="W26"/>
  <c r="U24" i="4"/>
  <c r="U14" i="3"/>
  <c r="E33" i="11"/>
  <c r="K45" i="6"/>
  <c r="E16" i="7"/>
  <c r="I53" i="4"/>
  <c r="Y16" i="10"/>
  <c r="Z13" s="1"/>
  <c r="AI68" i="4"/>
  <c r="K31"/>
  <c r="AJ68"/>
  <c r="AK68"/>
  <c r="AJ76"/>
  <c r="P38"/>
  <c r="AA19" i="11"/>
  <c r="Y25"/>
  <c r="K30" i="4"/>
  <c r="L30"/>
  <c r="K42"/>
  <c r="Y17" i="11"/>
  <c r="AA17" s="1"/>
  <c r="X20"/>
  <c r="J25" s="1"/>
  <c r="J22" s="1"/>
  <c r="I22" s="1"/>
  <c r="J30"/>
  <c r="T18"/>
  <c r="V20" i="6"/>
  <c r="P30" i="4"/>
  <c r="P31" i="2" s="1"/>
  <c r="J17" i="11"/>
  <c r="J16" s="1"/>
  <c r="AK76" i="4"/>
  <c r="U30"/>
  <c r="V30"/>
  <c r="L42"/>
  <c r="P31"/>
  <c r="Q31" s="1"/>
  <c r="O18" i="11"/>
  <c r="I19" i="7"/>
  <c r="J19" s="1"/>
  <c r="U24" i="2"/>
  <c r="W24" s="1"/>
  <c r="V24" i="4"/>
  <c r="V24" i="2"/>
  <c r="Q30" i="4"/>
  <c r="P59" i="10"/>
  <c r="N59" s="1"/>
  <c r="N16" s="1"/>
  <c r="O16" s="1"/>
  <c r="Z14"/>
  <c r="P60" s="1"/>
  <c r="N60" s="1"/>
  <c r="N17" s="1"/>
  <c r="O17" s="1"/>
  <c r="Q24" i="4"/>
  <c r="Q24" i="2"/>
  <c r="G19" i="7"/>
  <c r="H19"/>
  <c r="O14" i="3"/>
  <c r="Q38" i="4"/>
  <c r="K32" i="2"/>
  <c r="U24" i="10"/>
  <c r="L31" i="4"/>
  <c r="G24" i="1"/>
  <c r="H24" s="1"/>
  <c r="I24"/>
  <c r="J24" s="1"/>
  <c r="E13"/>
  <c r="E14" s="1"/>
  <c r="F14" s="1"/>
  <c r="F20"/>
  <c r="I10" i="9"/>
  <c r="C10" s="1"/>
  <c r="H9" i="1"/>
  <c r="F17"/>
  <c r="W57" i="3"/>
  <c r="E24" i="1"/>
  <c r="F24" s="1"/>
  <c r="J9"/>
  <c r="F18"/>
  <c r="C24"/>
  <c r="D24" s="1"/>
  <c r="F16"/>
  <c r="F16" i="9"/>
  <c r="P16" s="1"/>
  <c r="F29"/>
  <c r="P29" s="1"/>
  <c r="F20"/>
  <c r="P20" s="1"/>
  <c r="H20"/>
  <c r="R20" s="1"/>
  <c r="H16"/>
  <c r="R16" s="1"/>
  <c r="Q54" i="6"/>
  <c r="F17" i="2"/>
  <c r="U38" i="10"/>
  <c r="W16" i="2"/>
  <c r="J20" i="9"/>
  <c r="T20" s="1"/>
  <c r="O16"/>
  <c r="C16"/>
  <c r="M16" s="1"/>
  <c r="Q48" i="10"/>
  <c r="R40"/>
  <c r="R48"/>
  <c r="R49" s="1"/>
  <c r="K38"/>
  <c r="E38"/>
  <c r="U28" i="2"/>
  <c r="W28" s="1"/>
  <c r="V27" i="4"/>
  <c r="P47" i="2"/>
  <c r="E15" i="11"/>
  <c r="V37" i="4"/>
  <c r="J23" i="11"/>
  <c r="L24" i="4"/>
  <c r="L24" i="2"/>
  <c r="M8"/>
  <c r="AB24" i="10"/>
  <c r="Y30"/>
  <c r="AB30"/>
  <c r="J30"/>
  <c r="F39" i="4"/>
  <c r="G39" s="1"/>
  <c r="AD13" i="10"/>
  <c r="U59" s="1"/>
  <c r="S59" s="1"/>
  <c r="S16" s="1"/>
  <c r="T16" s="1"/>
  <c r="AD14"/>
  <c r="U60"/>
  <c r="S60" s="1"/>
  <c r="S17" s="1"/>
  <c r="T17" s="1"/>
  <c r="P27" i="2"/>
  <c r="O12" i="5"/>
  <c r="K19" i="10"/>
  <c r="Q33" i="4"/>
  <c r="E19" i="7"/>
  <c r="C19" s="1"/>
  <c r="F28" i="4"/>
  <c r="G28" s="1"/>
  <c r="Q11"/>
  <c r="Q11" i="2" s="1"/>
  <c r="G16" i="7"/>
  <c r="C16" s="1"/>
  <c r="O11" i="4"/>
  <c r="AH13" i="10"/>
  <c r="K59"/>
  <c r="I59" s="1"/>
  <c r="I16" s="1"/>
  <c r="J16" s="1"/>
  <c r="AH14"/>
  <c r="K60" s="1"/>
  <c r="I60" s="1"/>
  <c r="I17" s="1"/>
  <c r="J17" s="1"/>
  <c r="V44" i="4"/>
  <c r="W45" i="2"/>
  <c r="U58" i="3"/>
  <c r="W58" s="1"/>
  <c r="K34" i="10"/>
  <c r="Q35" i="11"/>
  <c r="Q43"/>
  <c r="R43" s="1"/>
  <c r="R44" s="1"/>
  <c r="M10" i="2"/>
  <c r="M9" s="1"/>
  <c r="C14" i="10"/>
  <c r="C13"/>
  <c r="V28" i="4"/>
  <c r="V30" i="6"/>
  <c r="O35" i="2"/>
  <c r="O40"/>
  <c r="O36" i="10"/>
  <c r="D29" i="4"/>
  <c r="E29" s="1"/>
  <c r="Z25" i="11"/>
  <c r="P45" i="2"/>
  <c r="Q50" i="5"/>
  <c r="I23" i="3"/>
  <c r="J23"/>
  <c r="Q51" i="11"/>
  <c r="R58" i="10"/>
  <c r="K30"/>
  <c r="P10" i="6"/>
  <c r="W50" i="5"/>
  <c r="J24" i="9"/>
  <c r="T24" s="1"/>
  <c r="S45" i="5"/>
  <c r="S56" i="12"/>
  <c r="W13" i="2"/>
  <c r="U56" i="12"/>
  <c r="V56" s="1"/>
  <c r="J59" i="3"/>
  <c r="M13" i="10"/>
  <c r="Z58" i="2"/>
  <c r="W51" i="6"/>
  <c r="W63" i="12" s="1"/>
  <c r="W51" i="2"/>
  <c r="D33"/>
  <c r="F51"/>
  <c r="C50" i="10"/>
  <c r="D28"/>
  <c r="F56" i="2"/>
  <c r="M37" i="10"/>
  <c r="M36"/>
  <c r="O50"/>
  <c r="P46" s="1"/>
  <c r="M32"/>
  <c r="N41" i="2" s="1"/>
  <c r="D13"/>
  <c r="M33" i="10"/>
  <c r="F31" i="7"/>
  <c r="M28" i="10"/>
  <c r="N37" i="2"/>
  <c r="I39" i="6"/>
  <c r="O17" i="9"/>
  <c r="F17"/>
  <c r="P17"/>
  <c r="F16" i="7"/>
  <c r="Q63" i="3"/>
  <c r="M14" i="10"/>
  <c r="V53" i="6"/>
  <c r="AA53" s="1"/>
  <c r="AA65" i="12" s="1"/>
  <c r="D21" i="2"/>
  <c r="C52" i="10"/>
  <c r="C11" i="7"/>
  <c r="O17" i="2"/>
  <c r="I61" i="10"/>
  <c r="L51"/>
  <c r="C51" s="1"/>
  <c r="M18"/>
  <c r="N27" i="2" s="1"/>
  <c r="M22" i="10"/>
  <c r="N31" i="2" s="1"/>
  <c r="M38" i="10"/>
  <c r="M29"/>
  <c r="M26"/>
  <c r="N35" i="2" s="1"/>
  <c r="M30" i="10"/>
  <c r="D24" i="2"/>
  <c r="D27"/>
  <c r="M27" i="10"/>
  <c r="N36" i="2"/>
  <c r="M46" i="10"/>
  <c r="N55" i="2"/>
  <c r="O49" i="6"/>
  <c r="G33" i="9"/>
  <c r="I54" i="2"/>
  <c r="G53" i="5"/>
  <c r="G64" i="12" s="1"/>
  <c r="C17" i="9"/>
  <c r="M17" s="1"/>
  <c r="V49" i="6"/>
  <c r="AA49" s="1"/>
  <c r="AA61" i="12" s="1"/>
  <c r="H17" i="9"/>
  <c r="R17" s="1"/>
  <c r="F18" i="7"/>
  <c r="D56" i="2"/>
  <c r="M15" i="10"/>
  <c r="N18" i="2" s="1"/>
  <c r="M47" i="10"/>
  <c r="N56" i="2" s="1"/>
  <c r="M21" i="10"/>
  <c r="N30" i="2" s="1"/>
  <c r="M44" i="10"/>
  <c r="M24"/>
  <c r="N33" i="2"/>
  <c r="M35" i="10"/>
  <c r="M19"/>
  <c r="N28" i="2" s="1"/>
  <c r="M43" i="10"/>
  <c r="N52" i="2" s="1"/>
  <c r="I41" i="7"/>
  <c r="J41" s="1"/>
  <c r="J44" s="1"/>
  <c r="K54" i="6"/>
  <c r="I49"/>
  <c r="E33" i="9" s="1"/>
  <c r="D47" i="2"/>
  <c r="Q52" i="6"/>
  <c r="R52" s="1"/>
  <c r="P22"/>
  <c r="I33" i="9"/>
  <c r="S33" s="1"/>
  <c r="V52" i="6"/>
  <c r="AA52" s="1"/>
  <c r="J53"/>
  <c r="W56" i="12"/>
  <c r="X56" s="1"/>
  <c r="I40" i="9"/>
  <c r="J40" s="1"/>
  <c r="L44" i="6"/>
  <c r="E44"/>
  <c r="AD44"/>
  <c r="I18"/>
  <c r="I29"/>
  <c r="I24" s="1"/>
  <c r="I8" s="1"/>
  <c r="I47" s="1"/>
  <c r="K50" i="5"/>
  <c r="AD50" s="1"/>
  <c r="P14" i="3"/>
  <c r="P41" i="10"/>
  <c r="P23"/>
  <c r="P26"/>
  <c r="P43"/>
  <c r="P38"/>
  <c r="P30"/>
  <c r="P35"/>
  <c r="P37"/>
  <c r="P22"/>
  <c r="P25"/>
  <c r="P42"/>
  <c r="D27"/>
  <c r="D15"/>
  <c r="E18" i="2" s="1"/>
  <c r="D21" i="10"/>
  <c r="D39"/>
  <c r="D35"/>
  <c r="D18"/>
  <c r="E27" i="2" s="1"/>
  <c r="D44" i="10"/>
  <c r="C52" i="5" s="1"/>
  <c r="C63" i="12" s="1"/>
  <c r="D32" i="10"/>
  <c r="D31"/>
  <c r="E40" i="2" s="1"/>
  <c r="D36" i="10"/>
  <c r="D25"/>
  <c r="D13"/>
  <c r="D42"/>
  <c r="D43"/>
  <c r="D20"/>
  <c r="D38"/>
  <c r="D16"/>
  <c r="E19" i="2"/>
  <c r="D37" i="10"/>
  <c r="C45" i="5"/>
  <c r="D22" i="10"/>
  <c r="D14"/>
  <c r="D29"/>
  <c r="D26"/>
  <c r="D45"/>
  <c r="C53" i="5"/>
  <c r="D46" i="10"/>
  <c r="D30"/>
  <c r="D19"/>
  <c r="E28" i="2" s="1"/>
  <c r="D23" i="10"/>
  <c r="D24"/>
  <c r="D33"/>
  <c r="D34"/>
  <c r="D17"/>
  <c r="D47"/>
  <c r="L54" i="6"/>
  <c r="I34" i="10"/>
  <c r="I23"/>
  <c r="I35"/>
  <c r="I22"/>
  <c r="I33"/>
  <c r="I30"/>
  <c r="I28"/>
  <c r="I21"/>
  <c r="I29"/>
  <c r="J33" i="9"/>
  <c r="J36" s="1"/>
  <c r="K49" i="6"/>
  <c r="E50" i="5"/>
  <c r="E44" i="3"/>
  <c r="E43" i="12" s="1"/>
  <c r="L58" i="3"/>
  <c r="K56" i="12"/>
  <c r="L56"/>
  <c r="E21" i="6"/>
  <c r="E23" i="12"/>
  <c r="F23" s="1"/>
  <c r="E24"/>
  <c r="F24" s="1"/>
  <c r="E18" i="6"/>
  <c r="E29"/>
  <c r="E24"/>
  <c r="E39"/>
  <c r="E34"/>
  <c r="E70" i="3"/>
  <c r="C70"/>
  <c r="M53" s="1"/>
  <c r="D62"/>
  <c r="AC61"/>
  <c r="C44"/>
  <c r="C43" i="12" s="1"/>
  <c r="L64" i="3"/>
  <c r="E64"/>
  <c r="Z11" i="6"/>
  <c r="H12"/>
  <c r="H19"/>
  <c r="H22"/>
  <c r="H26"/>
  <c r="H28"/>
  <c r="H31"/>
  <c r="H33"/>
  <c r="H40"/>
  <c r="H42"/>
  <c r="N31"/>
  <c r="N37"/>
  <c r="N42"/>
  <c r="T31"/>
  <c r="T37"/>
  <c r="T42"/>
  <c r="Z20"/>
  <c r="Z27"/>
  <c r="Z32"/>
  <c r="Z12"/>
  <c r="H37"/>
  <c r="N20"/>
  <c r="N27"/>
  <c r="T20"/>
  <c r="T27"/>
  <c r="Z36"/>
  <c r="Z41"/>
  <c r="H11"/>
  <c r="AB62" i="3"/>
  <c r="AB61" i="12" s="1"/>
  <c r="D10" i="3"/>
  <c r="D9" s="1"/>
  <c r="D10" i="12" s="1"/>
  <c r="C62" i="3"/>
  <c r="C10"/>
  <c r="AA9"/>
  <c r="C31"/>
  <c r="C30" i="12"/>
  <c r="Z38" i="6"/>
  <c r="T23"/>
  <c r="T19"/>
  <c r="N23"/>
  <c r="H38"/>
  <c r="H36"/>
  <c r="H35" s="1"/>
  <c r="N11"/>
  <c r="Z30"/>
  <c r="Z23"/>
  <c r="Z19"/>
  <c r="Z18" s="1"/>
  <c r="T40"/>
  <c r="T33"/>
  <c r="N40"/>
  <c r="N33"/>
  <c r="N30"/>
  <c r="H43"/>
  <c r="H41"/>
  <c r="H32"/>
  <c r="H30"/>
  <c r="H29" s="1"/>
  <c r="H27"/>
  <c r="H25" s="1"/>
  <c r="H23"/>
  <c r="H21" s="1"/>
  <c r="H20"/>
  <c r="T11"/>
  <c r="AC65" i="3"/>
  <c r="L49" i="6"/>
  <c r="P20"/>
  <c r="V45"/>
  <c r="AA45" s="1"/>
  <c r="V22"/>
  <c r="AA22" s="1"/>
  <c r="AA21" s="1"/>
  <c r="P49"/>
  <c r="P30"/>
  <c r="P54"/>
  <c r="V50"/>
  <c r="AA50" s="1"/>
  <c r="AA62" i="12" s="1"/>
  <c r="P45" i="6"/>
  <c r="V54"/>
  <c r="AA54" s="1"/>
  <c r="AA66" i="12" s="1"/>
  <c r="P50" i="6"/>
  <c r="P41"/>
  <c r="V41"/>
  <c r="AC58" i="3"/>
  <c r="Z43" i="6"/>
  <c r="S18" i="3"/>
  <c r="M29"/>
  <c r="M27"/>
  <c r="G25"/>
  <c r="K15"/>
  <c r="L15" s="1"/>
  <c r="F54"/>
  <c r="J22" i="6"/>
  <c r="X57" i="3"/>
  <c r="J56"/>
  <c r="J27"/>
  <c r="J42"/>
  <c r="J65"/>
  <c r="L11"/>
  <c r="Q17"/>
  <c r="R17" s="1"/>
  <c r="AB20"/>
  <c r="W39"/>
  <c r="K55"/>
  <c r="W29"/>
  <c r="X29"/>
  <c r="K27"/>
  <c r="F46"/>
  <c r="F53"/>
  <c r="H39" i="6"/>
  <c r="AC67" i="3"/>
  <c r="X64"/>
  <c r="L59"/>
  <c r="L57"/>
  <c r="J29" i="6"/>
  <c r="J24" i="3"/>
  <c r="J57"/>
  <c r="J40" i="6"/>
  <c r="J63" i="3"/>
  <c r="J53"/>
  <c r="J25"/>
  <c r="J12"/>
  <c r="J44" i="6"/>
  <c r="J30"/>
  <c r="J66" i="3"/>
  <c r="X11"/>
  <c r="L61"/>
  <c r="AC63"/>
  <c r="D70"/>
  <c r="H12" s="1"/>
  <c r="P29"/>
  <c r="E57" i="6"/>
  <c r="AB40" s="1"/>
  <c r="T18"/>
  <c r="S17" i="3"/>
  <c r="Y50"/>
  <c r="Y49" i="12" s="1"/>
  <c r="S20" i="3"/>
  <c r="Z22" i="6"/>
  <c r="Z21" s="1"/>
  <c r="Z26"/>
  <c r="Z28"/>
  <c r="Z31"/>
  <c r="Z29" s="1"/>
  <c r="Z33"/>
  <c r="Z37"/>
  <c r="Z40"/>
  <c r="Z39" s="1"/>
  <c r="Z42"/>
  <c r="X48"/>
  <c r="T30"/>
  <c r="T32"/>
  <c r="T36"/>
  <c r="T38"/>
  <c r="T35"/>
  <c r="T41"/>
  <c r="T39"/>
  <c r="T43"/>
  <c r="T12"/>
  <c r="T22"/>
  <c r="T21"/>
  <c r="T26"/>
  <c r="T28"/>
  <c r="R48"/>
  <c r="N12"/>
  <c r="N32"/>
  <c r="N36"/>
  <c r="N38"/>
  <c r="N41"/>
  <c r="N39" s="1"/>
  <c r="N43"/>
  <c r="N19"/>
  <c r="N22"/>
  <c r="N21"/>
  <c r="N26"/>
  <c r="N28"/>
  <c r="J20"/>
  <c r="J31"/>
  <c r="J19"/>
  <c r="J51"/>
  <c r="J41"/>
  <c r="J18"/>
  <c r="V16" i="3"/>
  <c r="S47"/>
  <c r="S46" i="12" s="1"/>
  <c r="G17" i="3"/>
  <c r="Y36"/>
  <c r="Y35" i="12" s="1"/>
  <c r="H18" i="6"/>
  <c r="J45"/>
  <c r="R54"/>
  <c r="J52"/>
  <c r="J50"/>
  <c r="J33"/>
  <c r="V11" i="3"/>
  <c r="X61"/>
  <c r="Y49"/>
  <c r="Y48" i="12" s="1"/>
  <c r="Q49" i="3"/>
  <c r="AC62"/>
  <c r="T18"/>
  <c r="Q19" i="6"/>
  <c r="R19" s="1"/>
  <c r="Q20"/>
  <c r="R20" s="1"/>
  <c r="Q31"/>
  <c r="R31" s="1"/>
  <c r="W40"/>
  <c r="X40" s="1"/>
  <c r="Q43"/>
  <c r="R43" s="1"/>
  <c r="Q11"/>
  <c r="R11" s="1"/>
  <c r="K36"/>
  <c r="L36" s="1"/>
  <c r="W32"/>
  <c r="K37"/>
  <c r="L37" s="1"/>
  <c r="K20"/>
  <c r="L20" s="1"/>
  <c r="Q33"/>
  <c r="R33" s="1"/>
  <c r="Q40"/>
  <c r="R40" s="1"/>
  <c r="K28"/>
  <c r="W41"/>
  <c r="X41" s="1"/>
  <c r="K41"/>
  <c r="Q28"/>
  <c r="R28" s="1"/>
  <c r="W26"/>
  <c r="X26" s="1"/>
  <c r="W38"/>
  <c r="X38" s="1"/>
  <c r="E9"/>
  <c r="E8" s="1"/>
  <c r="E47" s="1"/>
  <c r="G40" i="9"/>
  <c r="O25" i="5"/>
  <c r="C45" i="12"/>
  <c r="C12" i="10"/>
  <c r="D12"/>
  <c r="H12"/>
  <c r="G40"/>
  <c r="AJ43" i="4"/>
  <c r="AJ42"/>
  <c r="AK43"/>
  <c r="Q66"/>
  <c r="O66" s="1"/>
  <c r="O20" s="1"/>
  <c r="P20" s="1"/>
  <c r="AK42"/>
  <c r="Q65" s="1"/>
  <c r="O65" s="1"/>
  <c r="O19" s="1"/>
  <c r="P19" s="1"/>
  <c r="D28" i="9"/>
  <c r="N28"/>
  <c r="N21"/>
  <c r="E18" i="10"/>
  <c r="U12" i="5"/>
  <c r="AA12" s="1"/>
  <c r="U27" i="2"/>
  <c r="U18" i="10"/>
  <c r="V27" i="2" s="1"/>
  <c r="V33" i="4"/>
  <c r="U34" i="2"/>
  <c r="W34"/>
  <c r="U32" i="4"/>
  <c r="E19" i="10"/>
  <c r="P19"/>
  <c r="Q28" i="2"/>
  <c r="P28"/>
  <c r="K36" i="10"/>
  <c r="K45" i="2"/>
  <c r="F45"/>
  <c r="E36" i="10"/>
  <c r="O50" i="5"/>
  <c r="G34" i="7" s="1"/>
  <c r="H34" s="1"/>
  <c r="H37" s="1"/>
  <c r="L34" i="4"/>
  <c r="K32"/>
  <c r="F34"/>
  <c r="G34" s="1"/>
  <c r="E35" i="10"/>
  <c r="K35"/>
  <c r="J32"/>
  <c r="J33"/>
  <c r="K33"/>
  <c r="O21" i="6"/>
  <c r="O19" i="11"/>
  <c r="P35" i="2"/>
  <c r="O16" i="11"/>
  <c r="K12" i="2"/>
  <c r="F12" i="4"/>
  <c r="G12" s="1"/>
  <c r="G12" i="2" s="1"/>
  <c r="L12" i="4"/>
  <c r="L12" i="2"/>
  <c r="K11" i="4"/>
  <c r="G18" i="7"/>
  <c r="P21" i="2"/>
  <c r="F21"/>
  <c r="O13" i="3"/>
  <c r="F21" i="4"/>
  <c r="G21" s="1"/>
  <c r="G21" i="2" s="1"/>
  <c r="Q21" i="4"/>
  <c r="Q21" i="2"/>
  <c r="T29" i="4"/>
  <c r="T30"/>
  <c r="T37"/>
  <c r="T38"/>
  <c r="T41"/>
  <c r="T42"/>
  <c r="T31"/>
  <c r="T43"/>
  <c r="T36"/>
  <c r="U44" i="2"/>
  <c r="W44" s="1"/>
  <c r="T32" i="10"/>
  <c r="U35"/>
  <c r="J27" i="11"/>
  <c r="C35" i="5"/>
  <c r="J24" i="10"/>
  <c r="K34" i="2"/>
  <c r="K25" i="10"/>
  <c r="E25"/>
  <c r="P39"/>
  <c r="E39"/>
  <c r="H13" i="11"/>
  <c r="G35"/>
  <c r="C13"/>
  <c r="U46" i="6"/>
  <c r="W46" s="1"/>
  <c r="X46" s="1"/>
  <c r="AC46" s="1"/>
  <c r="U48" i="2"/>
  <c r="W48" s="1"/>
  <c r="E20"/>
  <c r="AL76" i="4"/>
  <c r="H51" i="2"/>
  <c r="H30"/>
  <c r="O51" i="10"/>
  <c r="X26" i="11"/>
  <c r="U31" i="4"/>
  <c r="AL68"/>
  <c r="W11" i="2"/>
  <c r="J18" i="7"/>
  <c r="G14" i="4"/>
  <c r="G14" i="2" s="1"/>
  <c r="F33" i="4"/>
  <c r="G33" s="1"/>
  <c r="J19" i="11"/>
  <c r="E19"/>
  <c r="R14"/>
  <c r="P37" i="4"/>
  <c r="AA27" i="11"/>
  <c r="L41" i="6"/>
  <c r="H24" i="9"/>
  <c r="F24" i="4"/>
  <c r="G24"/>
  <c r="G24" i="2" s="1"/>
  <c r="P29" i="4"/>
  <c r="F26" i="2"/>
  <c r="AB21" i="10"/>
  <c r="D52" i="2"/>
  <c r="J45"/>
  <c r="AB31" i="10"/>
  <c r="R30" i="2"/>
  <c r="AL70" i="4"/>
  <c r="Y20" i="11"/>
  <c r="C10" i="6"/>
  <c r="C9"/>
  <c r="D22" i="12"/>
  <c r="F27" i="2"/>
  <c r="D59"/>
  <c r="N45" i="4"/>
  <c r="T53"/>
  <c r="AK71"/>
  <c r="U38" s="1"/>
  <c r="Z20" i="11"/>
  <c r="Z26" s="1"/>
  <c r="AA26" s="1"/>
  <c r="C25" i="5"/>
  <c r="E52" i="3"/>
  <c r="S28"/>
  <c r="S27" i="12" s="1"/>
  <c r="C58" i="5"/>
  <c r="Q51" i="3"/>
  <c r="R51"/>
  <c r="M12"/>
  <c r="I26"/>
  <c r="M51"/>
  <c r="G45"/>
  <c r="D43"/>
  <c r="E38"/>
  <c r="F24" i="9"/>
  <c r="J16"/>
  <c r="T16" s="1"/>
  <c r="D41" i="2"/>
  <c r="S18"/>
  <c r="Q17" i="9"/>
  <c r="U37" i="10"/>
  <c r="Y53" i="2"/>
  <c r="Y54" s="1"/>
  <c r="Y55" s="1"/>
  <c r="U20" i="10"/>
  <c r="U26"/>
  <c r="J24" i="6"/>
  <c r="D36" i="2"/>
  <c r="D17"/>
  <c r="K39" i="10"/>
  <c r="F25" i="2"/>
  <c r="N35" i="6"/>
  <c r="N34" s="1"/>
  <c r="W27" i="2"/>
  <c r="D44"/>
  <c r="W25" i="3"/>
  <c r="Q28"/>
  <c r="P30" i="2"/>
  <c r="O30" s="1"/>
  <c r="Q29" i="4"/>
  <c r="AO43"/>
  <c r="V66" s="1"/>
  <c r="T66" s="1"/>
  <c r="T20" s="1"/>
  <c r="U20" s="1"/>
  <c r="V20" s="1"/>
  <c r="AO42"/>
  <c r="V65" s="1"/>
  <c r="T65" s="1"/>
  <c r="T19" s="1"/>
  <c r="U19" s="1"/>
  <c r="V19" s="1"/>
  <c r="K20" i="10"/>
  <c r="K31"/>
  <c r="D50" i="5"/>
  <c r="D61" i="12" s="1"/>
  <c r="N61" i="10"/>
  <c r="P52" i="11"/>
  <c r="N52" s="1"/>
  <c r="U29" i="10"/>
  <c r="K29" i="4"/>
  <c r="T21" i="10"/>
  <c r="U31"/>
  <c r="U40" i="2"/>
  <c r="W40" s="1"/>
  <c r="W22"/>
  <c r="F22"/>
  <c r="U23" i="10"/>
  <c r="T33"/>
  <c r="U33"/>
  <c r="U34"/>
  <c r="Q42" i="4"/>
  <c r="F13" i="2"/>
  <c r="P32" i="4"/>
  <c r="Q32" s="1"/>
  <c r="U25" i="10"/>
  <c r="F27" i="4"/>
  <c r="G27" s="1"/>
  <c r="L27"/>
  <c r="L28" i="2" s="1"/>
  <c r="K29"/>
  <c r="L28" i="4"/>
  <c r="E21" i="11"/>
  <c r="K35" i="2"/>
  <c r="P40"/>
  <c r="V43" i="6"/>
  <c r="E34" i="11"/>
  <c r="P48" i="2"/>
  <c r="F48" s="1"/>
  <c r="O46" i="6"/>
  <c r="Q46" s="1"/>
  <c r="R46" s="1"/>
  <c r="K43" i="4"/>
  <c r="C8" i="6"/>
  <c r="C47" s="1"/>
  <c r="C55" s="1"/>
  <c r="H50" i="5"/>
  <c r="H61" i="12" s="1"/>
  <c r="U10" i="6"/>
  <c r="I19" i="11"/>
  <c r="E31"/>
  <c r="R9" i="4"/>
  <c r="S9" s="1"/>
  <c r="T30" i="10"/>
  <c r="T27" s="1"/>
  <c r="S27" s="1"/>
  <c r="O36" i="4"/>
  <c r="AJ74"/>
  <c r="AL74"/>
  <c r="P43"/>
  <c r="O29" i="11"/>
  <c r="O27" s="1"/>
  <c r="T45" i="5"/>
  <c r="T56" i="12" s="1"/>
  <c r="Q51" i="6"/>
  <c r="Q63" i="12" s="1"/>
  <c r="W21" i="2"/>
  <c r="Q57" i="4"/>
  <c r="AL73"/>
  <c r="K37"/>
  <c r="L37"/>
  <c r="U42"/>
  <c r="F42"/>
  <c r="G42" s="1"/>
  <c r="T17" i="11"/>
  <c r="T16" s="1"/>
  <c r="T29"/>
  <c r="R42" i="2"/>
  <c r="D42" s="1"/>
  <c r="AI71" i="4"/>
  <c r="AI77" s="1"/>
  <c r="AL77" s="1"/>
  <c r="AA16" i="11"/>
  <c r="Q40" i="9"/>
  <c r="H40"/>
  <c r="H43" s="1"/>
  <c r="U32" i="2"/>
  <c r="W32" s="1"/>
  <c r="V31" i="4"/>
  <c r="F31"/>
  <c r="G31" s="1"/>
  <c r="U29"/>
  <c r="V29" s="1"/>
  <c r="D30" i="2"/>
  <c r="S32" i="10"/>
  <c r="U32"/>
  <c r="H18" i="7"/>
  <c r="C18"/>
  <c r="D18" s="1"/>
  <c r="J12" i="2"/>
  <c r="F12"/>
  <c r="P19" i="6"/>
  <c r="O18"/>
  <c r="N19" i="11"/>
  <c r="J32" i="4"/>
  <c r="L32"/>
  <c r="K33" i="2"/>
  <c r="R24" i="9"/>
  <c r="H48"/>
  <c r="R48" s="1"/>
  <c r="V46" i="6"/>
  <c r="AA46" s="1"/>
  <c r="O14" i="11"/>
  <c r="I32" i="10"/>
  <c r="K32"/>
  <c r="G48"/>
  <c r="G58"/>
  <c r="H40"/>
  <c r="H58" s="1"/>
  <c r="AK77" i="4"/>
  <c r="J43" i="6"/>
  <c r="I34"/>
  <c r="U26" i="3"/>
  <c r="M57"/>
  <c r="O25" i="11"/>
  <c r="P39" i="2" s="1"/>
  <c r="Y26" i="11"/>
  <c r="P38" i="2"/>
  <c r="P36" i="4"/>
  <c r="P37" i="2" s="1"/>
  <c r="Q37" i="4"/>
  <c r="P35"/>
  <c r="Q35" s="1"/>
  <c r="O23" i="3"/>
  <c r="D51" i="2"/>
  <c r="J51"/>
  <c r="G43" i="11"/>
  <c r="C35"/>
  <c r="C51"/>
  <c r="G51"/>
  <c r="H35"/>
  <c r="K24" i="10"/>
  <c r="I24"/>
  <c r="J33" i="2" s="1"/>
  <c r="I27" i="11"/>
  <c r="L11" i="4"/>
  <c r="L11" i="2" s="1"/>
  <c r="K11"/>
  <c r="F11" s="1"/>
  <c r="J11" i="4"/>
  <c r="F11"/>
  <c r="G11"/>
  <c r="G11" i="2" s="1"/>
  <c r="P23" i="6"/>
  <c r="O28" i="2"/>
  <c r="V32" i="4"/>
  <c r="U33" i="2"/>
  <c r="W33" s="1"/>
  <c r="T32" i="4"/>
  <c r="T33" i="2"/>
  <c r="J14" i="11"/>
  <c r="AJ54" i="4"/>
  <c r="AJ61" s="1"/>
  <c r="F48" i="9"/>
  <c r="P48" s="1"/>
  <c r="P24"/>
  <c r="T27" i="11"/>
  <c r="S27" s="1"/>
  <c r="T28"/>
  <c r="P43" i="6"/>
  <c r="L43" i="4"/>
  <c r="K44" i="2"/>
  <c r="F43" i="4"/>
  <c r="G43"/>
  <c r="K40"/>
  <c r="J10" i="6"/>
  <c r="R51"/>
  <c r="J29" i="2"/>
  <c r="F32" i="4"/>
  <c r="G32" s="1"/>
  <c r="O32"/>
  <c r="N28" i="10"/>
  <c r="N23"/>
  <c r="N21"/>
  <c r="N35"/>
  <c r="N22"/>
  <c r="N29"/>
  <c r="N33"/>
  <c r="N30"/>
  <c r="N34"/>
  <c r="J21" i="6"/>
  <c r="J23"/>
  <c r="U40" i="4"/>
  <c r="T40" s="1"/>
  <c r="T41" i="2" s="1"/>
  <c r="U41" i="4"/>
  <c r="U42" i="2" s="1"/>
  <c r="U43"/>
  <c r="W43" s="1"/>
  <c r="V42" i="4"/>
  <c r="P41"/>
  <c r="P40"/>
  <c r="Q40" s="1"/>
  <c r="Q43"/>
  <c r="P44" i="2"/>
  <c r="V23" i="6"/>
  <c r="U21"/>
  <c r="V21"/>
  <c r="J16" i="3"/>
  <c r="J15"/>
  <c r="U21" i="10"/>
  <c r="F29" i="4"/>
  <c r="G29" s="1"/>
  <c r="L29"/>
  <c r="E29" i="11"/>
  <c r="U30" i="10"/>
  <c r="E30"/>
  <c r="V10" i="6"/>
  <c r="AA10" s="1"/>
  <c r="P33"/>
  <c r="AJ77" i="4"/>
  <c r="K41"/>
  <c r="L41" s="1"/>
  <c r="Q36"/>
  <c r="O23" i="11"/>
  <c r="O22"/>
  <c r="N22" s="1"/>
  <c r="U38" i="3"/>
  <c r="U30"/>
  <c r="H48" i="10"/>
  <c r="H49" s="1"/>
  <c r="U29" i="6"/>
  <c r="V29" s="1"/>
  <c r="V31"/>
  <c r="AA31" s="1"/>
  <c r="AA29" s="1"/>
  <c r="I14" i="11"/>
  <c r="J11" i="3"/>
  <c r="P18" i="6"/>
  <c r="U23" i="3"/>
  <c r="O35" i="4"/>
  <c r="M56" i="12"/>
  <c r="C57" i="3"/>
  <c r="O38"/>
  <c r="N14" i="11"/>
  <c r="I10" i="5"/>
  <c r="I9"/>
  <c r="I8" s="1"/>
  <c r="I48" s="1"/>
  <c r="O10"/>
  <c r="O9" s="1"/>
  <c r="F41" i="4"/>
  <c r="G41" s="1"/>
  <c r="V41"/>
  <c r="J39" i="3"/>
  <c r="I52"/>
  <c r="J54"/>
  <c r="J52" s="1"/>
  <c r="J43" s="1"/>
  <c r="P54"/>
  <c r="I38"/>
  <c r="V19" i="6"/>
  <c r="I9"/>
  <c r="O40" i="4"/>
  <c r="U52" i="3"/>
  <c r="U43"/>
  <c r="O39" i="6"/>
  <c r="O34"/>
  <c r="O47" s="1"/>
  <c r="P40"/>
  <c r="P39" s="1"/>
  <c r="P34" s="1"/>
  <c r="U10" i="3"/>
  <c r="U9" s="1"/>
  <c r="U8" s="1"/>
  <c r="U60" s="1"/>
  <c r="V40" i="4"/>
  <c r="J40"/>
  <c r="J41" i="2"/>
  <c r="L40" i="4"/>
  <c r="K41" i="2"/>
  <c r="U39" i="6"/>
  <c r="U34"/>
  <c r="V40"/>
  <c r="U24"/>
  <c r="O13" i="11"/>
  <c r="P31" i="6"/>
  <c r="O29"/>
  <c r="O24" s="1"/>
  <c r="O8" s="1"/>
  <c r="V18"/>
  <c r="U9"/>
  <c r="J40" i="3"/>
  <c r="V12"/>
  <c r="E22" i="12"/>
  <c r="F22"/>
  <c r="AA18" i="6"/>
  <c r="E43" i="3"/>
  <c r="W56"/>
  <c r="X56"/>
  <c r="E41" i="12"/>
  <c r="F41"/>
  <c r="AB42" i="3"/>
  <c r="AC42"/>
  <c r="I56" i="12"/>
  <c r="J56" s="1"/>
  <c r="G27" i="3"/>
  <c r="U62" i="12"/>
  <c r="P21" i="6"/>
  <c r="O9"/>
  <c r="O62" i="12"/>
  <c r="M56" i="3"/>
  <c r="S34"/>
  <c r="Q49" i="6"/>
  <c r="U66" i="12"/>
  <c r="O26" i="3"/>
  <c r="W65"/>
  <c r="N25"/>
  <c r="Y53"/>
  <c r="Y32"/>
  <c r="O10"/>
  <c r="J13"/>
  <c r="Q57"/>
  <c r="P57"/>
  <c r="O56" i="12"/>
  <c r="P56" s="1"/>
  <c r="Q65" i="3"/>
  <c r="O62"/>
  <c r="O61" i="12" s="1"/>
  <c r="O70" s="1"/>
  <c r="Q70" s="1"/>
  <c r="K65" i="3"/>
  <c r="I62"/>
  <c r="H50"/>
  <c r="H49" i="12" s="1"/>
  <c r="T21" i="3"/>
  <c r="T20" i="12" s="1"/>
  <c r="H56" i="3"/>
  <c r="N21"/>
  <c r="N20" i="12"/>
  <c r="H49" i="3"/>
  <c r="H48" i="12"/>
  <c r="Z35" i="3"/>
  <c r="Z34" i="12"/>
  <c r="Z24" i="3"/>
  <c r="H19"/>
  <c r="N51"/>
  <c r="Z21"/>
  <c r="Z20" i="12" s="1"/>
  <c r="H24" i="3"/>
  <c r="T50"/>
  <c r="T49" i="12" s="1"/>
  <c r="H53" i="3"/>
  <c r="G18"/>
  <c r="G46"/>
  <c r="Y28"/>
  <c r="Y27" i="12" s="1"/>
  <c r="S53" i="3"/>
  <c r="G32"/>
  <c r="S46"/>
  <c r="M16"/>
  <c r="M14"/>
  <c r="M19"/>
  <c r="S21"/>
  <c r="S20" i="12" s="1"/>
  <c r="G48" i="3"/>
  <c r="G47" i="12" s="1"/>
  <c r="S54" i="3"/>
  <c r="M15"/>
  <c r="Y54"/>
  <c r="Y13"/>
  <c r="Y34"/>
  <c r="G14"/>
  <c r="Y56"/>
  <c r="M32"/>
  <c r="M20"/>
  <c r="Y19"/>
  <c r="G20"/>
  <c r="G49"/>
  <c r="G48" i="12"/>
  <c r="Y47" i="3"/>
  <c r="Y46" i="12"/>
  <c r="S19" i="3"/>
  <c r="M36"/>
  <c r="M35" i="12" s="1"/>
  <c r="S49" i="3"/>
  <c r="S48" i="12" s="1"/>
  <c r="S12" i="3"/>
  <c r="G12"/>
  <c r="Y24"/>
  <c r="Y29"/>
  <c r="S15"/>
  <c r="M25"/>
  <c r="G13"/>
  <c r="G29"/>
  <c r="S45"/>
  <c r="M35"/>
  <c r="M34" i="12"/>
  <c r="Y21" i="3"/>
  <c r="Y20" i="12"/>
  <c r="Y15" i="3"/>
  <c r="Y46"/>
  <c r="M45"/>
  <c r="G54"/>
  <c r="S24"/>
  <c r="G24"/>
  <c r="G23" s="1"/>
  <c r="S25"/>
  <c r="S23" s="1"/>
  <c r="G56"/>
  <c r="S27"/>
  <c r="G19"/>
  <c r="G36"/>
  <c r="G35" i="12" s="1"/>
  <c r="M21" i="3"/>
  <c r="M20" i="12" s="1"/>
  <c r="S35" i="3"/>
  <c r="S34" i="12" s="1"/>
  <c r="M47" i="3"/>
  <c r="M46" i="12" s="1"/>
  <c r="G21" i="3"/>
  <c r="G20" i="12" s="1"/>
  <c r="Y20" i="3"/>
  <c r="S50"/>
  <c r="S49" i="12"/>
  <c r="M49" i="3"/>
  <c r="M48" i="12"/>
  <c r="M24" i="3"/>
  <c r="S33"/>
  <c r="G28"/>
  <c r="G27" i="12"/>
  <c r="S29" i="3"/>
  <c r="S51"/>
  <c r="Y55"/>
  <c r="Y18"/>
  <c r="T48"/>
  <c r="T47" i="12"/>
  <c r="S48" i="3"/>
  <c r="M18"/>
  <c r="S13"/>
  <c r="Y48"/>
  <c r="Y47" i="12" s="1"/>
  <c r="S32" i="3"/>
  <c r="Y51"/>
  <c r="Y12"/>
  <c r="Y27"/>
  <c r="M28"/>
  <c r="M27" i="12" s="1"/>
  <c r="G33" i="3"/>
  <c r="S14"/>
  <c r="Y45"/>
  <c r="Y44" s="1"/>
  <c r="M54"/>
  <c r="G35"/>
  <c r="G34" i="12" s="1"/>
  <c r="S36" i="3"/>
  <c r="S35" i="12" s="1"/>
  <c r="Y17" i="3"/>
  <c r="G15"/>
  <c r="S16"/>
  <c r="T56"/>
  <c r="S55"/>
  <c r="G55"/>
  <c r="S56"/>
  <c r="Y16"/>
  <c r="Y25"/>
  <c r="M48"/>
  <c r="M47" i="12"/>
  <c r="M17" i="3"/>
  <c r="G47"/>
  <c r="G46" i="12" s="1"/>
  <c r="G50" i="3"/>
  <c r="G49" i="12" s="1"/>
  <c r="G51" i="3"/>
  <c r="Y33"/>
  <c r="Y14"/>
  <c r="D57"/>
  <c r="D56" i="12"/>
  <c r="H56"/>
  <c r="W42" i="3"/>
  <c r="X42" s="1"/>
  <c r="F38"/>
  <c r="AC57"/>
  <c r="F47"/>
  <c r="F46" i="12" s="1"/>
  <c r="F12" i="3"/>
  <c r="K12"/>
  <c r="L12"/>
  <c r="AB54"/>
  <c r="AC54"/>
  <c r="K39"/>
  <c r="Q48"/>
  <c r="W15"/>
  <c r="K21"/>
  <c r="W50"/>
  <c r="X50"/>
  <c r="X49" i="12" s="1"/>
  <c r="AC64" i="3"/>
  <c r="AC59"/>
  <c r="W63"/>
  <c r="X63" s="1"/>
  <c r="W67"/>
  <c r="X67" s="1"/>
  <c r="F36"/>
  <c r="F35" i="12"/>
  <c r="W36" i="3"/>
  <c r="W51"/>
  <c r="V54"/>
  <c r="K49"/>
  <c r="L49" s="1"/>
  <c r="L48" i="12" s="1"/>
  <c r="AC66" i="3"/>
  <c r="F11"/>
  <c r="F12" i="12" s="1"/>
  <c r="K46" i="3"/>
  <c r="L46" s="1"/>
  <c r="W27"/>
  <c r="W20"/>
  <c r="F48"/>
  <c r="F47" i="12" s="1"/>
  <c r="AB33" i="3"/>
  <c r="AC33" s="1"/>
  <c r="F13"/>
  <c r="P9" i="6"/>
  <c r="J8"/>
  <c r="J9"/>
  <c r="U9" i="5"/>
  <c r="U8" s="1"/>
  <c r="U48" s="1"/>
  <c r="I33" i="7" s="1"/>
  <c r="J33" s="1"/>
  <c r="J36" s="1"/>
  <c r="I43" i="3"/>
  <c r="S37"/>
  <c r="Y37"/>
  <c r="G37"/>
  <c r="M37"/>
  <c r="I30"/>
  <c r="Q56" i="12"/>
  <c r="R56"/>
  <c r="E57" i="3"/>
  <c r="AD57"/>
  <c r="Q64" i="12"/>
  <c r="E65" i="3"/>
  <c r="L65"/>
  <c r="O52"/>
  <c r="O43"/>
  <c r="W66"/>
  <c r="K66"/>
  <c r="I66" i="12"/>
  <c r="O65"/>
  <c r="I64"/>
  <c r="I62"/>
  <c r="J29" i="3"/>
  <c r="J26" s="1"/>
  <c r="O30"/>
  <c r="O66" i="12"/>
  <c r="O64"/>
  <c r="Q18" i="6"/>
  <c r="V39"/>
  <c r="V34" s="1"/>
  <c r="M41" i="3"/>
  <c r="S41"/>
  <c r="G41"/>
  <c r="Y41"/>
  <c r="X50" i="5"/>
  <c r="X52"/>
  <c r="X49"/>
  <c r="X54"/>
  <c r="X53"/>
  <c r="X51"/>
  <c r="X45"/>
  <c r="AD57" i="6"/>
  <c r="T25"/>
  <c r="AA39"/>
  <c r="AA34"/>
  <c r="L28"/>
  <c r="J12" i="5"/>
  <c r="J45"/>
  <c r="J53"/>
  <c r="J13"/>
  <c r="J21"/>
  <c r="J51"/>
  <c r="J62" i="12"/>
  <c r="J32" i="5"/>
  <c r="J41"/>
  <c r="J24"/>
  <c r="J49"/>
  <c r="J60" i="12" s="1"/>
  <c r="J52" i="5"/>
  <c r="I53" i="2" s="1"/>
  <c r="E53" s="1"/>
  <c r="J55" i="5"/>
  <c r="J31"/>
  <c r="J20"/>
  <c r="J19" s="1"/>
  <c r="J47"/>
  <c r="J46"/>
  <c r="J54"/>
  <c r="Y10" i="3"/>
  <c r="R11"/>
  <c r="R65"/>
  <c r="AB12"/>
  <c r="AC12" s="1"/>
  <c r="F23"/>
  <c r="F48" i="6"/>
  <c r="F43"/>
  <c r="F38"/>
  <c r="F33"/>
  <c r="F28"/>
  <c r="F23"/>
  <c r="F17"/>
  <c r="F12"/>
  <c r="H14"/>
  <c r="K16"/>
  <c r="K14"/>
  <c r="Q14"/>
  <c r="T17"/>
  <c r="T15"/>
  <c r="Z17"/>
  <c r="Z15"/>
  <c r="AB19"/>
  <c r="AC19" s="1"/>
  <c r="AB12"/>
  <c r="AC12" s="1"/>
  <c r="AB22"/>
  <c r="AC22" s="1"/>
  <c r="AB26"/>
  <c r="AB28"/>
  <c r="AC28" s="1"/>
  <c r="AB32"/>
  <c r="AC32" s="1"/>
  <c r="AB36"/>
  <c r="AC36" s="1"/>
  <c r="AB38"/>
  <c r="AC38" s="1"/>
  <c r="AB42"/>
  <c r="AC42" s="1"/>
  <c r="W20"/>
  <c r="R57" i="3"/>
  <c r="R64"/>
  <c r="W41"/>
  <c r="X41" s="1"/>
  <c r="F44" i="6"/>
  <c r="F40"/>
  <c r="F35"/>
  <c r="F30"/>
  <c r="F25"/>
  <c r="F14"/>
  <c r="H15"/>
  <c r="N16"/>
  <c r="N14"/>
  <c r="Q15"/>
  <c r="R15"/>
  <c r="W12"/>
  <c r="X12" s="1"/>
  <c r="W15"/>
  <c r="X15" s="1"/>
  <c r="W17"/>
  <c r="X17" s="1"/>
  <c r="AB15"/>
  <c r="AC15" s="1"/>
  <c r="AB17"/>
  <c r="AC17" s="1"/>
  <c r="AB20"/>
  <c r="AC20" s="1"/>
  <c r="W30"/>
  <c r="H47" i="3"/>
  <c r="R63"/>
  <c r="AB17"/>
  <c r="W47"/>
  <c r="W46" i="12" s="1"/>
  <c r="F41" i="6"/>
  <c r="F36"/>
  <c r="F31"/>
  <c r="F29" s="1"/>
  <c r="F24" s="1"/>
  <c r="F26"/>
  <c r="F20"/>
  <c r="F15"/>
  <c r="H16"/>
  <c r="K17"/>
  <c r="K15"/>
  <c r="L15" s="1"/>
  <c r="Q16"/>
  <c r="R16"/>
  <c r="T16"/>
  <c r="T14"/>
  <c r="Z16"/>
  <c r="Z14"/>
  <c r="Z13" s="1"/>
  <c r="Z10" s="1"/>
  <c r="AB11"/>
  <c r="AC11"/>
  <c r="AB14"/>
  <c r="AC14"/>
  <c r="AB27"/>
  <c r="AC27"/>
  <c r="AB31"/>
  <c r="AB33"/>
  <c r="AC33" s="1"/>
  <c r="AB37"/>
  <c r="AC37" s="1"/>
  <c r="AB41"/>
  <c r="AC41" s="1"/>
  <c r="AB43"/>
  <c r="AC43" s="1"/>
  <c r="AB30"/>
  <c r="AC30" s="1"/>
  <c r="Q58" i="5"/>
  <c r="R47" s="1"/>
  <c r="F11" i="6"/>
  <c r="F42"/>
  <c r="F37"/>
  <c r="F32"/>
  <c r="F27"/>
  <c r="F22"/>
  <c r="F21" s="1"/>
  <c r="F16"/>
  <c r="H17"/>
  <c r="N17"/>
  <c r="Q17"/>
  <c r="R17"/>
  <c r="Q12"/>
  <c r="R12"/>
  <c r="W11"/>
  <c r="W14"/>
  <c r="X14" s="1"/>
  <c r="W16"/>
  <c r="X16" s="1"/>
  <c r="AB16"/>
  <c r="AC16" s="1"/>
  <c r="R49"/>
  <c r="L39" i="3"/>
  <c r="X65"/>
  <c r="Y23"/>
  <c r="Y9" s="1"/>
  <c r="O9"/>
  <c r="O8"/>
  <c r="O60" s="1"/>
  <c r="O68" s="1"/>
  <c r="S26"/>
  <c r="S52"/>
  <c r="Y52"/>
  <c r="W62"/>
  <c r="X62" s="1"/>
  <c r="W65" i="12"/>
  <c r="X66" i="3"/>
  <c r="E56" i="12"/>
  <c r="F56" s="1"/>
  <c r="F57" i="3"/>
  <c r="M40"/>
  <c r="G40"/>
  <c r="S40"/>
  <c r="Y40"/>
  <c r="J30" i="5"/>
  <c r="X11" i="6"/>
  <c r="L17"/>
  <c r="F13"/>
  <c r="X30"/>
  <c r="AC26"/>
  <c r="Q13"/>
  <c r="R14"/>
  <c r="R13" s="1"/>
  <c r="L16"/>
  <c r="AC17" i="3"/>
  <c r="AB18" i="6"/>
  <c r="R55" i="5"/>
  <c r="R49"/>
  <c r="R60" i="12" s="1"/>
  <c r="R51" i="5"/>
  <c r="X20" i="6"/>
  <c r="Y39" i="3"/>
  <c r="Y38"/>
  <c r="M39"/>
  <c r="M38"/>
  <c r="S39"/>
  <c r="S38"/>
  <c r="C38"/>
  <c r="G39"/>
  <c r="G38" s="1"/>
  <c r="C37" i="12"/>
  <c r="J38" i="3"/>
  <c r="J30" s="1"/>
  <c r="Q33" i="9"/>
  <c r="I65" i="12"/>
  <c r="J66"/>
  <c r="I63"/>
  <c r="O63"/>
  <c r="J44" i="5"/>
  <c r="J34"/>
  <c r="J42"/>
  <c r="J40" s="1"/>
  <c r="J35" s="1"/>
  <c r="J14"/>
  <c r="J23"/>
  <c r="AC46"/>
  <c r="AC53"/>
  <c r="F14" i="3"/>
  <c r="Y35"/>
  <c r="Y34" i="12" s="1"/>
  <c r="M55" i="3"/>
  <c r="H16" i="7"/>
  <c r="J22" i="5"/>
  <c r="C43" i="3"/>
  <c r="C42" i="12"/>
  <c r="Y26" i="3"/>
  <c r="C9"/>
  <c r="N15" i="6"/>
  <c r="G11"/>
  <c r="S30"/>
  <c r="M33"/>
  <c r="M32"/>
  <c r="S19"/>
  <c r="Y32"/>
  <c r="M28"/>
  <c r="Y30"/>
  <c r="M30"/>
  <c r="M37"/>
  <c r="S14"/>
  <c r="S17"/>
  <c r="G43"/>
  <c r="M22"/>
  <c r="Y23"/>
  <c r="M41"/>
  <c r="G31"/>
  <c r="G23"/>
  <c r="G28"/>
  <c r="G22"/>
  <c r="G21" s="1"/>
  <c r="S28"/>
  <c r="S33"/>
  <c r="S16"/>
  <c r="S15"/>
  <c r="S13"/>
  <c r="M50" i="3"/>
  <c r="M49" i="12" s="1"/>
  <c r="AD17" i="6"/>
  <c r="V9"/>
  <c r="W39"/>
  <c r="D9"/>
  <c r="D11" i="12"/>
  <c r="D8" i="6"/>
  <c r="H33" i="9"/>
  <c r="R33" s="1"/>
  <c r="AC50" i="6"/>
  <c r="Q10"/>
  <c r="U8"/>
  <c r="U47"/>
  <c r="R40" i="9"/>
  <c r="K33" i="6"/>
  <c r="W36"/>
  <c r="K32"/>
  <c r="Q38"/>
  <c r="R38" s="1"/>
  <c r="W33"/>
  <c r="X33" s="1"/>
  <c r="Q30"/>
  <c r="R30" s="1"/>
  <c r="R29" s="1"/>
  <c r="Q23"/>
  <c r="Q22"/>
  <c r="R22" s="1"/>
  <c r="W28"/>
  <c r="AD28" s="1"/>
  <c r="Q42"/>
  <c r="Q36"/>
  <c r="AD36" s="1"/>
  <c r="Q26"/>
  <c r="K27"/>
  <c r="K12"/>
  <c r="L12" s="1"/>
  <c r="W42"/>
  <c r="X42" s="1"/>
  <c r="Q32"/>
  <c r="K43"/>
  <c r="Q41"/>
  <c r="AD41" s="1"/>
  <c r="K31"/>
  <c r="W31"/>
  <c r="K30"/>
  <c r="K19"/>
  <c r="L19" s="1"/>
  <c r="L18" s="1"/>
  <c r="W19"/>
  <c r="X19" s="1"/>
  <c r="X18" s="1"/>
  <c r="W22"/>
  <c r="G41" i="7"/>
  <c r="H41" s="1"/>
  <c r="H44" s="1"/>
  <c r="C60" i="12"/>
  <c r="C22"/>
  <c r="C51"/>
  <c r="D35" i="6"/>
  <c r="D34" s="1"/>
  <c r="X65" i="12"/>
  <c r="C11"/>
  <c r="C9" i="5"/>
  <c r="C8" s="1"/>
  <c r="C9" i="12" s="1"/>
  <c r="D8" i="5"/>
  <c r="D48" s="1"/>
  <c r="D56" s="1"/>
  <c r="E25"/>
  <c r="E8"/>
  <c r="E37" i="12"/>
  <c r="E60"/>
  <c r="D37"/>
  <c r="I43"/>
  <c r="E51"/>
  <c r="D25"/>
  <c r="D51"/>
  <c r="E30"/>
  <c r="E15"/>
  <c r="AD49" i="5"/>
  <c r="I10" i="12"/>
  <c r="Z50" i="3"/>
  <c r="H32"/>
  <c r="T55"/>
  <c r="Z34"/>
  <c r="N20"/>
  <c r="T17"/>
  <c r="N28"/>
  <c r="N27" i="12" s="1"/>
  <c r="T47" i="3"/>
  <c r="T46" i="12" s="1"/>
  <c r="AD61" i="3"/>
  <c r="AA30"/>
  <c r="AA8"/>
  <c r="AA60" s="1"/>
  <c r="AA68" s="1"/>
  <c r="AA69" s="1"/>
  <c r="AD11"/>
  <c r="F37"/>
  <c r="E30"/>
  <c r="E29" i="12" s="1"/>
  <c r="F29" s="1"/>
  <c r="D31" i="3"/>
  <c r="D30" i="12"/>
  <c r="Y31" i="3"/>
  <c r="G34"/>
  <c r="G31" s="1"/>
  <c r="M34"/>
  <c r="L52" i="5"/>
  <c r="L51"/>
  <c r="L45"/>
  <c r="L47"/>
  <c r="L55"/>
  <c r="L49"/>
  <c r="L60" i="12"/>
  <c r="L54" i="5"/>
  <c r="L46"/>
  <c r="L53"/>
  <c r="L50"/>
  <c r="J11"/>
  <c r="J10"/>
  <c r="J9"/>
  <c r="X46"/>
  <c r="X47"/>
  <c r="X55"/>
  <c r="AC51"/>
  <c r="AC52"/>
  <c r="AC54"/>
  <c r="AC65" i="12" s="1"/>
  <c r="AC47" i="5"/>
  <c r="AC50"/>
  <c r="AC45"/>
  <c r="AC49"/>
  <c r="AC60" i="12"/>
  <c r="AC55" i="5"/>
  <c r="P10" i="12"/>
  <c r="F22" i="3"/>
  <c r="F21" i="12"/>
  <c r="G22" i="3"/>
  <c r="G21" i="12"/>
  <c r="K22" i="3"/>
  <c r="K21" i="12"/>
  <c r="AB22" i="3"/>
  <c r="AB21" i="12"/>
  <c r="Y22" i="3"/>
  <c r="Y21" i="12"/>
  <c r="W22" i="3"/>
  <c r="X22"/>
  <c r="X21" i="12" s="1"/>
  <c r="S22" i="3"/>
  <c r="S21" i="12" s="1"/>
  <c r="Q22" i="3"/>
  <c r="Q21" i="12" s="1"/>
  <c r="M22" i="3"/>
  <c r="M21" i="12" s="1"/>
  <c r="H22" i="3"/>
  <c r="H21" i="12" s="1"/>
  <c r="Z22" i="3"/>
  <c r="Z21" i="12" s="1"/>
  <c r="T22" i="3"/>
  <c r="T21" i="12" s="1"/>
  <c r="J10"/>
  <c r="AD32" i="6"/>
  <c r="X22"/>
  <c r="X31"/>
  <c r="X29" s="1"/>
  <c r="W29"/>
  <c r="Q39"/>
  <c r="Q29"/>
  <c r="L30"/>
  <c r="L31"/>
  <c r="R36"/>
  <c r="X28"/>
  <c r="R23"/>
  <c r="H36" i="9"/>
  <c r="R36" s="1"/>
  <c r="U59" i="12"/>
  <c r="C10"/>
  <c r="L22" i="3"/>
  <c r="L21" i="12" s="1"/>
  <c r="Z49"/>
  <c r="V59"/>
  <c r="AA59"/>
  <c r="C29"/>
  <c r="C8" i="3"/>
  <c r="C60" s="1"/>
  <c r="P68" i="12"/>
  <c r="J68"/>
  <c r="F9" i="1"/>
  <c r="R28" i="3"/>
  <c r="R27" i="12" s="1"/>
  <c r="Q27"/>
  <c r="N22" i="3"/>
  <c r="N21" i="12"/>
  <c r="Z17" i="3"/>
  <c r="T14"/>
  <c r="N16"/>
  <c r="H55"/>
  <c r="H21"/>
  <c r="H20" i="12"/>
  <c r="N35" i="3"/>
  <c r="N34" i="12"/>
  <c r="T19" i="3"/>
  <c r="H36"/>
  <c r="H35" i="12" s="1"/>
  <c r="T34" i="3"/>
  <c r="H39"/>
  <c r="T25"/>
  <c r="Z18"/>
  <c r="Z27"/>
  <c r="N40"/>
  <c r="Z51"/>
  <c r="T28"/>
  <c r="T27" i="12" s="1"/>
  <c r="N18" i="3"/>
  <c r="T15"/>
  <c r="H46"/>
  <c r="H48"/>
  <c r="H47" i="12" s="1"/>
  <c r="N34" i="3"/>
  <c r="T32"/>
  <c r="H33"/>
  <c r="T35"/>
  <c r="T34" i="12"/>
  <c r="H15" i="3"/>
  <c r="Z20"/>
  <c r="T46"/>
  <c r="N50"/>
  <c r="N49" i="12" s="1"/>
  <c r="H18" i="3"/>
  <c r="T24"/>
  <c r="D58" i="5"/>
  <c r="N56" i="3"/>
  <c r="Z37"/>
  <c r="N37"/>
  <c r="Z49"/>
  <c r="Z48" i="12" s="1"/>
  <c r="N32" i="3"/>
  <c r="Z12"/>
  <c r="N55"/>
  <c r="H51"/>
  <c r="H16"/>
  <c r="T53"/>
  <c r="H28"/>
  <c r="H27" i="12" s="1"/>
  <c r="Z54" i="3"/>
  <c r="N29"/>
  <c r="Z55"/>
  <c r="T20"/>
  <c r="Z16"/>
  <c r="Z25"/>
  <c r="Z23" s="1"/>
  <c r="Z15"/>
  <c r="N47"/>
  <c r="N46" i="12" s="1"/>
  <c r="H20" i="3"/>
  <c r="Z53"/>
  <c r="Z52"/>
  <c r="N46"/>
  <c r="H25"/>
  <c r="H23" s="1"/>
  <c r="Z39"/>
  <c r="Z56"/>
  <c r="N41"/>
  <c r="N49"/>
  <c r="N48" i="12" s="1"/>
  <c r="T39" i="3"/>
  <c r="N48"/>
  <c r="N47" i="12" s="1"/>
  <c r="N15" i="3"/>
  <c r="T51"/>
  <c r="T36"/>
  <c r="T35" i="12" s="1"/>
  <c r="Z13" i="3"/>
  <c r="H17"/>
  <c r="N24"/>
  <c r="N23" s="1"/>
  <c r="N45"/>
  <c r="N19"/>
  <c r="N12"/>
  <c r="Z47"/>
  <c r="Z46" i="12" s="1"/>
  <c r="Z41" i="3"/>
  <c r="H54"/>
  <c r="H52"/>
  <c r="T49"/>
  <c r="T48" i="12"/>
  <c r="Z19" i="3"/>
  <c r="T54"/>
  <c r="H14"/>
  <c r="H35"/>
  <c r="H34" i="12" s="1"/>
  <c r="T27" i="3"/>
  <c r="H45"/>
  <c r="T33"/>
  <c r="N36"/>
  <c r="N35" i="12" s="1"/>
  <c r="Z48" i="3"/>
  <c r="Z47" i="12" s="1"/>
  <c r="N27" i="3"/>
  <c r="Z33"/>
  <c r="H13"/>
  <c r="N17"/>
  <c r="T29"/>
  <c r="Z46"/>
  <c r="Z36"/>
  <c r="Z35" i="12" s="1"/>
  <c r="T16" i="3"/>
  <c r="N33"/>
  <c r="T45"/>
  <c r="T44" s="1"/>
  <c r="N14"/>
  <c r="Z28"/>
  <c r="Z27" i="12" s="1"/>
  <c r="H27" i="3"/>
  <c r="H41"/>
  <c r="H29"/>
  <c r="T37"/>
  <c r="H37"/>
  <c r="M27" i="6"/>
  <c r="S20"/>
  <c r="S18" s="1"/>
  <c r="G20"/>
  <c r="G27"/>
  <c r="Y11"/>
  <c r="S40"/>
  <c r="Y42"/>
  <c r="S37"/>
  <c r="M23"/>
  <c r="M21" s="1"/>
  <c r="G26"/>
  <c r="G15"/>
  <c r="M17"/>
  <c r="G19"/>
  <c r="G18"/>
  <c r="M36"/>
  <c r="S31"/>
  <c r="S29" s="1"/>
  <c r="Y28"/>
  <c r="Y37"/>
  <c r="M11"/>
  <c r="S27"/>
  <c r="S12"/>
  <c r="Y26"/>
  <c r="G40"/>
  <c r="M16"/>
  <c r="G17"/>
  <c r="Y15"/>
  <c r="M38"/>
  <c r="S22"/>
  <c r="M20"/>
  <c r="Y36"/>
  <c r="M31"/>
  <c r="Y20"/>
  <c r="G42"/>
  <c r="M43"/>
  <c r="S23"/>
  <c r="M14"/>
  <c r="G16"/>
  <c r="S26"/>
  <c r="S25" s="1"/>
  <c r="Y31"/>
  <c r="Y29" s="1"/>
  <c r="G33"/>
  <c r="G41"/>
  <c r="M19"/>
  <c r="M18" s="1"/>
  <c r="Y22"/>
  <c r="Y21" s="1"/>
  <c r="G38"/>
  <c r="Y19"/>
  <c r="S38"/>
  <c r="Y41"/>
  <c r="G14"/>
  <c r="G13" s="1"/>
  <c r="M15"/>
  <c r="G30"/>
  <c r="G29" s="1"/>
  <c r="Y12"/>
  <c r="S41"/>
  <c r="S36"/>
  <c r="S11"/>
  <c r="M12"/>
  <c r="Y43"/>
  <c r="G12"/>
  <c r="G36"/>
  <c r="G35"/>
  <c r="S43"/>
  <c r="Y16"/>
  <c r="G37"/>
  <c r="S32"/>
  <c r="Y40"/>
  <c r="Y39"/>
  <c r="Y38"/>
  <c r="Y35"/>
  <c r="Y34" s="1"/>
  <c r="Y33"/>
  <c r="M42"/>
  <c r="S42"/>
  <c r="M40"/>
  <c r="M39" s="1"/>
  <c r="G32"/>
  <c r="M26"/>
  <c r="M25" s="1"/>
  <c r="Y27"/>
  <c r="Y25" s="1"/>
  <c r="Y14"/>
  <c r="Y17"/>
  <c r="AD19"/>
  <c r="X36"/>
  <c r="AD12"/>
  <c r="R41"/>
  <c r="K18"/>
  <c r="S31" i="3"/>
  <c r="AC62" i="12"/>
  <c r="R10" i="6"/>
  <c r="M23" i="3"/>
  <c r="R48"/>
  <c r="R47" i="12" s="1"/>
  <c r="Q47"/>
  <c r="X25" i="3"/>
  <c r="R49"/>
  <c r="R48" i="12" s="1"/>
  <c r="Q48"/>
  <c r="AC20" i="3"/>
  <c r="X20"/>
  <c r="X36"/>
  <c r="X35" i="12" s="1"/>
  <c r="W35"/>
  <c r="X15" i="3"/>
  <c r="X39"/>
  <c r="Q20"/>
  <c r="K28"/>
  <c r="K48"/>
  <c r="Q45"/>
  <c r="K53"/>
  <c r="E58" i="5"/>
  <c r="K19" i="3"/>
  <c r="Q19"/>
  <c r="AB16"/>
  <c r="Q27"/>
  <c r="W32"/>
  <c r="K41"/>
  <c r="F34"/>
  <c r="F25"/>
  <c r="AB51"/>
  <c r="Q34"/>
  <c r="R34" s="1"/>
  <c r="K24"/>
  <c r="F15"/>
  <c r="K45"/>
  <c r="F49"/>
  <c r="F48" i="12" s="1"/>
  <c r="F41" i="3"/>
  <c r="W40"/>
  <c r="W54"/>
  <c r="X54" s="1"/>
  <c r="Q18"/>
  <c r="K33"/>
  <c r="F19"/>
  <c r="K54"/>
  <c r="F29"/>
  <c r="AB36"/>
  <c r="Q33"/>
  <c r="R33" s="1"/>
  <c r="Q21"/>
  <c r="K50"/>
  <c r="W16"/>
  <c r="Q15"/>
  <c r="AB21"/>
  <c r="AB50"/>
  <c r="AB28"/>
  <c r="AB47"/>
  <c r="W35"/>
  <c r="W45"/>
  <c r="W55"/>
  <c r="AB15"/>
  <c r="Q39"/>
  <c r="K17"/>
  <c r="W33"/>
  <c r="Q41"/>
  <c r="R41" s="1"/>
  <c r="K36"/>
  <c r="W48"/>
  <c r="K18"/>
  <c r="AB53"/>
  <c r="Q46"/>
  <c r="R46" s="1"/>
  <c r="AB13"/>
  <c r="AC13" s="1"/>
  <c r="Q13"/>
  <c r="R13" s="1"/>
  <c r="K35"/>
  <c r="Q50"/>
  <c r="K32"/>
  <c r="K25"/>
  <c r="AB40"/>
  <c r="F56"/>
  <c r="F42"/>
  <c r="F28"/>
  <c r="F27" i="12" s="1"/>
  <c r="F64" i="3"/>
  <c r="AB29"/>
  <c r="AC29" s="1"/>
  <c r="F33"/>
  <c r="Q29"/>
  <c r="Q55"/>
  <c r="R55" s="1"/>
  <c r="F20"/>
  <c r="F35"/>
  <c r="F34" i="12" s="1"/>
  <c r="W46" i="3"/>
  <c r="X46" s="1"/>
  <c r="W21"/>
  <c r="Q54"/>
  <c r="R54" s="1"/>
  <c r="F50"/>
  <c r="F49" i="12" s="1"/>
  <c r="K29" i="3"/>
  <c r="F21"/>
  <c r="F20" i="12" s="1"/>
  <c r="F16" i="3"/>
  <c r="W53"/>
  <c r="W24"/>
  <c r="Q47"/>
  <c r="AB25"/>
  <c r="F55"/>
  <c r="AB41"/>
  <c r="W49"/>
  <c r="AB32"/>
  <c r="F65"/>
  <c r="AB35"/>
  <c r="AB27"/>
  <c r="F32"/>
  <c r="F39"/>
  <c r="Q35"/>
  <c r="AB18"/>
  <c r="AC18" s="1"/>
  <c r="F17"/>
  <c r="W14"/>
  <c r="X14"/>
  <c r="K13"/>
  <c r="Q40"/>
  <c r="R40" s="1"/>
  <c r="K14"/>
  <c r="L14" s="1"/>
  <c r="Q36"/>
  <c r="F27"/>
  <c r="K47"/>
  <c r="F51"/>
  <c r="Q53"/>
  <c r="R53" s="1"/>
  <c r="Q52"/>
  <c r="Q24"/>
  <c r="Q56"/>
  <c r="R56" s="1"/>
  <c r="Q42"/>
  <c r="F45"/>
  <c r="K51"/>
  <c r="F24"/>
  <c r="K40"/>
  <c r="K38" s="1"/>
  <c r="L38" s="1"/>
  <c r="Q14"/>
  <c r="R14" s="1"/>
  <c r="W17"/>
  <c r="X17" s="1"/>
  <c r="F40"/>
  <c r="Q32"/>
  <c r="K42"/>
  <c r="AB55"/>
  <c r="W28"/>
  <c r="F61"/>
  <c r="W13"/>
  <c r="X13" s="1"/>
  <c r="AB39"/>
  <c r="K20"/>
  <c r="AD20" s="1"/>
  <c r="Q25"/>
  <c r="R25" s="1"/>
  <c r="F18"/>
  <c r="W18"/>
  <c r="AB45"/>
  <c r="AB19"/>
  <c r="AB24"/>
  <c r="AB48"/>
  <c r="AC22"/>
  <c r="AC21" i="12" s="1"/>
  <c r="R22" i="3"/>
  <c r="R21" i="12" s="1"/>
  <c r="L27" i="6"/>
  <c r="L43"/>
  <c r="K29"/>
  <c r="K48" i="12"/>
  <c r="M29" i="6"/>
  <c r="X27" i="3"/>
  <c r="Z45"/>
  <c r="T13"/>
  <c r="H34"/>
  <c r="H31" s="1"/>
  <c r="Z29"/>
  <c r="N39"/>
  <c r="N38" s="1"/>
  <c r="N13"/>
  <c r="T41"/>
  <c r="N54"/>
  <c r="S47" i="12"/>
  <c r="S44" i="3"/>
  <c r="S43" s="1"/>
  <c r="L27"/>
  <c r="AC31" i="6"/>
  <c r="AB29"/>
  <c r="H46" i="12"/>
  <c r="F39" i="6"/>
  <c r="F34" s="1"/>
  <c r="L14"/>
  <c r="L13" s="1"/>
  <c r="AD14"/>
  <c r="X51" i="3"/>
  <c r="L21"/>
  <c r="L20" i="12" s="1"/>
  <c r="K20"/>
  <c r="L55" i="3"/>
  <c r="U58" i="5"/>
  <c r="V53" s="1"/>
  <c r="V29" i="3"/>
  <c r="V39"/>
  <c r="V63"/>
  <c r="V24"/>
  <c r="V23"/>
  <c r="V53"/>
  <c r="V52" s="1"/>
  <c r="V65"/>
  <c r="V40"/>
  <c r="V13"/>
  <c r="V15"/>
  <c r="V57"/>
  <c r="V58"/>
  <c r="V64"/>
  <c r="V25"/>
  <c r="V67"/>
  <c r="V66"/>
  <c r="V27"/>
  <c r="V26" s="1"/>
  <c r="V56"/>
  <c r="V42"/>
  <c r="V61"/>
  <c r="V60" i="12" s="1"/>
  <c r="P56" i="3"/>
  <c r="P11"/>
  <c r="P58"/>
  <c r="P63"/>
  <c r="P65"/>
  <c r="P61"/>
  <c r="P16"/>
  <c r="P27"/>
  <c r="P26" s="1"/>
  <c r="P40"/>
  <c r="P13"/>
  <c r="P66"/>
  <c r="P24"/>
  <c r="O58" i="5"/>
  <c r="P15" i="3"/>
  <c r="P64"/>
  <c r="P53"/>
  <c r="P52" s="1"/>
  <c r="P39"/>
  <c r="P12"/>
  <c r="P42"/>
  <c r="P25"/>
  <c r="P67"/>
  <c r="M26"/>
  <c r="AD30" i="6"/>
  <c r="R42"/>
  <c r="AB13"/>
  <c r="AB10" s="1"/>
  <c r="Z40" i="3"/>
  <c r="N53"/>
  <c r="Z14"/>
  <c r="T12"/>
  <c r="H40"/>
  <c r="T40"/>
  <c r="Z32"/>
  <c r="Z31" s="1"/>
  <c r="F52"/>
  <c r="W12"/>
  <c r="J62"/>
  <c r="J64" i="12"/>
  <c r="X60"/>
  <c r="T29" i="6"/>
  <c r="T24" s="1"/>
  <c r="Z35"/>
  <c r="Z34" s="1"/>
  <c r="AB35"/>
  <c r="V24"/>
  <c r="V8" s="1"/>
  <c r="P23" i="3"/>
  <c r="N18" i="6"/>
  <c r="V14" i="3"/>
  <c r="J65" i="12"/>
  <c r="S39" i="6"/>
  <c r="AD58"/>
  <c r="T13"/>
  <c r="T10" s="1"/>
  <c r="T8" s="1"/>
  <c r="T9"/>
  <c r="AD62"/>
  <c r="K13"/>
  <c r="F55" i="2"/>
  <c r="E35" i="5"/>
  <c r="E42" i="12"/>
  <c r="L45" i="6"/>
  <c r="E45"/>
  <c r="F45" s="1"/>
  <c r="U64" i="12"/>
  <c r="L67" i="3"/>
  <c r="K66" i="12"/>
  <c r="F16" i="2"/>
  <c r="AB37" i="3"/>
  <c r="AC11"/>
  <c r="AC12" i="12" s="1"/>
  <c r="AD15" i="3"/>
  <c r="W37"/>
  <c r="F19" i="6"/>
  <c r="F18" s="1"/>
  <c r="W46" i="2"/>
  <c r="L12" i="12"/>
  <c r="W23" i="6"/>
  <c r="Q37" i="3"/>
  <c r="R37" s="1"/>
  <c r="K56"/>
  <c r="AD56" i="12"/>
  <c r="L66"/>
  <c r="N25" i="6"/>
  <c r="Z25"/>
  <c r="Z24" s="1"/>
  <c r="AB23"/>
  <c r="AC23" s="1"/>
  <c r="K37" i="3"/>
  <c r="AB56"/>
  <c r="R58"/>
  <c r="P17" i="10"/>
  <c r="X51" i="6"/>
  <c r="AC51" s="1"/>
  <c r="AC63" i="12" s="1"/>
  <c r="U39" i="10"/>
  <c r="I52" i="11"/>
  <c r="J25" i="5"/>
  <c r="J8" s="1"/>
  <c r="I50"/>
  <c r="AD59" i="6"/>
  <c r="T34"/>
  <c r="X63" i="12"/>
  <c r="C56"/>
  <c r="J48" i="9"/>
  <c r="T48" s="1"/>
  <c r="U19" i="10"/>
  <c r="V28" i="2" s="1"/>
  <c r="H13" i="6"/>
  <c r="H10" s="1"/>
  <c r="S40" i="9"/>
  <c r="W14" i="2"/>
  <c r="S41"/>
  <c r="S34"/>
  <c r="C48" i="5"/>
  <c r="U71" i="3"/>
  <c r="W71" s="1"/>
  <c r="U68"/>
  <c r="U27" i="10"/>
  <c r="U18" i="4"/>
  <c r="F20"/>
  <c r="G20" s="1"/>
  <c r="Q20"/>
  <c r="Q20" i="2" s="1"/>
  <c r="F10" i="6"/>
  <c r="X47" i="3"/>
  <c r="AD15" i="6"/>
  <c r="AD20"/>
  <c r="AB21"/>
  <c r="K16" i="3"/>
  <c r="N13" i="11"/>
  <c r="Q19" i="4"/>
  <c r="AB25" i="6"/>
  <c r="W49" i="12"/>
  <c r="N30" i="11"/>
  <c r="N29"/>
  <c r="O43" i="2" s="1"/>
  <c r="N24" i="11"/>
  <c r="O38" i="2" s="1"/>
  <c r="N28" i="11"/>
  <c r="O42" i="2" s="1"/>
  <c r="N17" i="11"/>
  <c r="O31" i="2" s="1"/>
  <c r="N25" i="11"/>
  <c r="O39" i="2" s="1"/>
  <c r="N18" i="11"/>
  <c r="J28"/>
  <c r="K42" i="2" s="1"/>
  <c r="E30" i="11"/>
  <c r="F49" i="4"/>
  <c r="G49" s="1"/>
  <c r="G47" i="2"/>
  <c r="K47"/>
  <c r="F47"/>
  <c r="I58" i="3"/>
  <c r="J58"/>
  <c r="L49" i="4"/>
  <c r="L50"/>
  <c r="F50"/>
  <c r="G50"/>
  <c r="I46" i="6"/>
  <c r="E22" i="10"/>
  <c r="J21"/>
  <c r="K31" i="2"/>
  <c r="K22" i="10"/>
  <c r="E34"/>
  <c r="K43" i="2"/>
  <c r="K38" i="4"/>
  <c r="F37"/>
  <c r="G37" s="1"/>
  <c r="U31" i="2"/>
  <c r="W31" s="1"/>
  <c r="T25" i="11"/>
  <c r="AB46" i="3"/>
  <c r="W19"/>
  <c r="M13"/>
  <c r="M10" s="1"/>
  <c r="AB49"/>
  <c r="P31" i="10"/>
  <c r="R35" i="11"/>
  <c r="J17" i="9"/>
  <c r="T17" s="1"/>
  <c r="G13" i="1"/>
  <c r="AD64" i="3"/>
  <c r="D9" i="4"/>
  <c r="E9" s="1"/>
  <c r="E10"/>
  <c r="S10"/>
  <c r="R10" i="2"/>
  <c r="R8" i="4"/>
  <c r="U35" i="2"/>
  <c r="V34" i="4"/>
  <c r="E18" i="11"/>
  <c r="AA20"/>
  <c r="Q12" i="3"/>
  <c r="P32" i="2"/>
  <c r="F32" s="1"/>
  <c r="F50"/>
  <c r="L43" i="11"/>
  <c r="M35"/>
  <c r="P34" i="2"/>
  <c r="F34" s="1"/>
  <c r="O24" i="10"/>
  <c r="E24" i="11"/>
  <c r="K38" i="2"/>
  <c r="F38" s="1"/>
  <c r="E17" i="11"/>
  <c r="AB14" i="3"/>
  <c r="P21" i="10"/>
  <c r="E50"/>
  <c r="AA25" i="11"/>
  <c r="R28" i="2"/>
  <c r="O27" i="10"/>
  <c r="H8" i="4"/>
  <c r="I10"/>
  <c r="H10" i="2"/>
  <c r="G54" i="4"/>
  <c r="G48"/>
  <c r="G58"/>
  <c r="G53"/>
  <c r="G23"/>
  <c r="G23" i="2"/>
  <c r="G47" i="4"/>
  <c r="G22"/>
  <c r="G22" i="2" s="1"/>
  <c r="G25" i="4"/>
  <c r="G25" i="2" s="1"/>
  <c r="G55" i="4"/>
  <c r="G46"/>
  <c r="G57"/>
  <c r="K23" i="10"/>
  <c r="E23"/>
  <c r="E29"/>
  <c r="K29"/>
  <c r="J28"/>
  <c r="K28"/>
  <c r="J27"/>
  <c r="K28" i="2"/>
  <c r="D31" i="11"/>
  <c r="E42" i="2" s="1"/>
  <c r="D40" i="11"/>
  <c r="E54" i="2" s="1"/>
  <c r="D27" i="11"/>
  <c r="E39" i="2" s="1"/>
  <c r="D33" i="11"/>
  <c r="D42"/>
  <c r="E56" i="2"/>
  <c r="R11"/>
  <c r="T11"/>
  <c r="I15" i="9"/>
  <c r="D25" i="11"/>
  <c r="E37" i="2" s="1"/>
  <c r="H11"/>
  <c r="E15" i="9"/>
  <c r="K60" i="12"/>
  <c r="AD60" s="1"/>
  <c r="D41" i="11"/>
  <c r="E55" i="2" s="1"/>
  <c r="D39" i="11"/>
  <c r="AA22"/>
  <c r="AB47" i="12"/>
  <c r="AC48" i="3"/>
  <c r="AC47" i="12" s="1"/>
  <c r="AB38" i="3"/>
  <c r="AC39"/>
  <c r="AD51"/>
  <c r="L51"/>
  <c r="Q46" i="12"/>
  <c r="R47" i="3"/>
  <c r="R46" i="12" s="1"/>
  <c r="W20"/>
  <c r="X21" i="3"/>
  <c r="X20" i="12"/>
  <c r="AB46"/>
  <c r="AC47" i="3"/>
  <c r="AC46" i="12" s="1"/>
  <c r="X40" i="3"/>
  <c r="F47" i="5"/>
  <c r="E48" i="2" s="1"/>
  <c r="F53" i="5"/>
  <c r="F43"/>
  <c r="F49"/>
  <c r="F60" i="12" s="1"/>
  <c r="F52" i="5"/>
  <c r="F42"/>
  <c r="F53" i="12" s="1"/>
  <c r="F16" i="5"/>
  <c r="F17" i="12" s="1"/>
  <c r="F18" i="5"/>
  <c r="F19" i="12" s="1"/>
  <c r="W11" i="5"/>
  <c r="X11" s="1"/>
  <c r="W21"/>
  <c r="W42"/>
  <c r="W34"/>
  <c r="W37"/>
  <c r="W15"/>
  <c r="Y17"/>
  <c r="Y24"/>
  <c r="Y28" i="12" s="1"/>
  <c r="Y29" i="5"/>
  <c r="Y33" i="12" s="1"/>
  <c r="Y13" i="5"/>
  <c r="Y14" i="12" s="1"/>
  <c r="Z15" i="5"/>
  <c r="Z29"/>
  <c r="Z33" i="12"/>
  <c r="Z24" i="5"/>
  <c r="Z16"/>
  <c r="F37"/>
  <c r="Z43"/>
  <c r="Z54" i="12" s="1"/>
  <c r="Z38" i="5"/>
  <c r="Z45" i="12" s="1"/>
  <c r="F34" i="5"/>
  <c r="Z44"/>
  <c r="Z55" i="12"/>
  <c r="Z39" i="5"/>
  <c r="Z50" i="12"/>
  <c r="AB21" i="5"/>
  <c r="AC21"/>
  <c r="Q44"/>
  <c r="Q32"/>
  <c r="Q37"/>
  <c r="Q38"/>
  <c r="Q18"/>
  <c r="R18" s="1"/>
  <c r="Q33"/>
  <c r="AB37"/>
  <c r="G18"/>
  <c r="G42"/>
  <c r="H17"/>
  <c r="H18" i="12" s="1"/>
  <c r="H38" i="5"/>
  <c r="H45" i="12" s="1"/>
  <c r="F46" i="5"/>
  <c r="E47" i="2"/>
  <c r="F50" i="5"/>
  <c r="F55"/>
  <c r="F44"/>
  <c r="F55" i="12"/>
  <c r="F51" i="5"/>
  <c r="F15"/>
  <c r="W43"/>
  <c r="X43"/>
  <c r="W18"/>
  <c r="W31"/>
  <c r="W23"/>
  <c r="W33"/>
  <c r="Y28"/>
  <c r="Y27"/>
  <c r="Y34"/>
  <c r="Y11"/>
  <c r="Z27"/>
  <c r="Z31"/>
  <c r="Z21"/>
  <c r="Z24" i="12"/>
  <c r="Z32" i="5"/>
  <c r="Z39" i="12"/>
  <c r="Z33" i="5"/>
  <c r="Z40" i="12"/>
  <c r="F32" i="5"/>
  <c r="F39" i="12" s="1"/>
  <c r="Z41" i="5"/>
  <c r="F38"/>
  <c r="F45" i="12" s="1"/>
  <c r="W20" i="5"/>
  <c r="Z42"/>
  <c r="Z53" i="12" s="1"/>
  <c r="AB32" i="5"/>
  <c r="AC32" s="1"/>
  <c r="Z37"/>
  <c r="AB20"/>
  <c r="AB23" i="12" s="1"/>
  <c r="Q43" i="5"/>
  <c r="R43" s="1"/>
  <c r="Q39"/>
  <c r="Q29"/>
  <c r="Q11"/>
  <c r="Q21"/>
  <c r="Q13"/>
  <c r="R13" s="1"/>
  <c r="Q31"/>
  <c r="Q23"/>
  <c r="AB27"/>
  <c r="G32"/>
  <c r="G39" i="12" s="1"/>
  <c r="G41" i="5"/>
  <c r="H15"/>
  <c r="F21"/>
  <c r="F20"/>
  <c r="F24"/>
  <c r="F28" i="12" s="1"/>
  <c r="F45" i="5"/>
  <c r="W41"/>
  <c r="W39"/>
  <c r="W38"/>
  <c r="Y31"/>
  <c r="Y16"/>
  <c r="Y17" i="12"/>
  <c r="Y15" i="5"/>
  <c r="Y18"/>
  <c r="Y23"/>
  <c r="Z13"/>
  <c r="Z14" i="12" s="1"/>
  <c r="Z20" i="5"/>
  <c r="Z28"/>
  <c r="Z32" i="12" s="1"/>
  <c r="Z23" i="5"/>
  <c r="F28"/>
  <c r="F32" i="12" s="1"/>
  <c r="Y39" i="5"/>
  <c r="Y50" i="12" s="1"/>
  <c r="AB41" i="5"/>
  <c r="F33"/>
  <c r="Y43"/>
  <c r="Y54" i="12" s="1"/>
  <c r="Y38" i="5"/>
  <c r="AB18"/>
  <c r="F31"/>
  <c r="Y44"/>
  <c r="K31"/>
  <c r="Q20"/>
  <c r="Q23" i="12" s="1"/>
  <c r="R23" s="1"/>
  <c r="Q41" i="5"/>
  <c r="Q17"/>
  <c r="R17"/>
  <c r="Q34"/>
  <c r="R34"/>
  <c r="Q42"/>
  <c r="AB16"/>
  <c r="AC16"/>
  <c r="AB11"/>
  <c r="G11"/>
  <c r="G34"/>
  <c r="H39"/>
  <c r="H50" i="12" s="1"/>
  <c r="F11" i="5"/>
  <c r="F13" i="12" s="1"/>
  <c r="F13" i="5"/>
  <c r="F14" i="12" s="1"/>
  <c r="W16" i="5"/>
  <c r="X16" s="1"/>
  <c r="Y32"/>
  <c r="Z18"/>
  <c r="Z19" i="12" s="1"/>
  <c r="Y37" i="5"/>
  <c r="F27"/>
  <c r="G38"/>
  <c r="G45" i="12" s="1"/>
  <c r="F30" i="5"/>
  <c r="F37" i="12" s="1"/>
  <c r="G17" i="5"/>
  <c r="G18" i="12" s="1"/>
  <c r="G13" i="5"/>
  <c r="G14" i="12" s="1"/>
  <c r="G33" i="5"/>
  <c r="G40" i="12" s="1"/>
  <c r="G29" i="5"/>
  <c r="H37"/>
  <c r="H36"/>
  <c r="H31"/>
  <c r="H21"/>
  <c r="H29"/>
  <c r="K33"/>
  <c r="K32"/>
  <c r="K43"/>
  <c r="K21"/>
  <c r="K29"/>
  <c r="K37"/>
  <c r="W28"/>
  <c r="X28" s="1"/>
  <c r="AB13"/>
  <c r="AC13"/>
  <c r="AB39"/>
  <c r="AC39"/>
  <c r="W17"/>
  <c r="X17"/>
  <c r="Y33"/>
  <c r="Y40" i="12"/>
  <c r="Z11" i="5"/>
  <c r="Z13" i="12"/>
  <c r="Y41" i="5"/>
  <c r="AB15"/>
  <c r="AB24"/>
  <c r="Q28"/>
  <c r="R28" s="1"/>
  <c r="H20"/>
  <c r="G15"/>
  <c r="G21"/>
  <c r="G24" i="12"/>
  <c r="G39" i="5"/>
  <c r="G50" i="12"/>
  <c r="H23" i="5"/>
  <c r="H27"/>
  <c r="K23"/>
  <c r="K13"/>
  <c r="K38"/>
  <c r="K18"/>
  <c r="K16"/>
  <c r="K17" i="12"/>
  <c r="W13" i="5"/>
  <c r="W27"/>
  <c r="Y20"/>
  <c r="Z17"/>
  <c r="Z18" i="12" s="1"/>
  <c r="Q24" i="5"/>
  <c r="R24" s="1"/>
  <c r="AB43"/>
  <c r="AC43"/>
  <c r="G20"/>
  <c r="G27"/>
  <c r="G23"/>
  <c r="G37"/>
  <c r="G43"/>
  <c r="G54" i="12" s="1"/>
  <c r="H11" i="5"/>
  <c r="H34"/>
  <c r="H42"/>
  <c r="H53" i="12" s="1"/>
  <c r="H28" i="5"/>
  <c r="H32" i="12" s="1"/>
  <c r="K41" i="5"/>
  <c r="K17"/>
  <c r="K20"/>
  <c r="K23" i="12" s="1"/>
  <c r="L23" s="1"/>
  <c r="K42" i="5"/>
  <c r="K39"/>
  <c r="K34"/>
  <c r="K11"/>
  <c r="AB31"/>
  <c r="AB38" i="12" s="1"/>
  <c r="AB42" i="5"/>
  <c r="AB38"/>
  <c r="AC38"/>
  <c r="F54"/>
  <c r="F17"/>
  <c r="F18" i="12" s="1"/>
  <c r="Q27" i="5"/>
  <c r="Q31" i="12" s="1"/>
  <c r="AB23" i="5"/>
  <c r="G28"/>
  <c r="G32" i="12"/>
  <c r="H16" i="5"/>
  <c r="H17" i="12"/>
  <c r="H41" i="5"/>
  <c r="H18"/>
  <c r="H19" i="12" s="1"/>
  <c r="K24" i="5"/>
  <c r="K27"/>
  <c r="AB17"/>
  <c r="AC17" s="1"/>
  <c r="F41"/>
  <c r="F52" i="12" s="1"/>
  <c r="F23" i="5"/>
  <c r="F22" s="1"/>
  <c r="Y21"/>
  <c r="Z34"/>
  <c r="W32"/>
  <c r="W39" i="12" s="1"/>
  <c r="W24" i="5"/>
  <c r="X24" s="1"/>
  <c r="F29"/>
  <c r="F36" i="12" s="1"/>
  <c r="F39" i="5"/>
  <c r="F50" i="12" s="1"/>
  <c r="Y42" i="5"/>
  <c r="Y53" i="12" s="1"/>
  <c r="Q16" i="5"/>
  <c r="Q15"/>
  <c r="H24"/>
  <c r="H28" i="12" s="1"/>
  <c r="F40" i="5"/>
  <c r="G31"/>
  <c r="G24"/>
  <c r="G28" i="12" s="1"/>
  <c r="G16" i="5"/>
  <c r="G17" i="12" s="1"/>
  <c r="G44" i="5"/>
  <c r="G55" i="12" s="1"/>
  <c r="H44" i="5"/>
  <c r="H55" i="12" s="1"/>
  <c r="H33" i="5"/>
  <c r="H40" i="12" s="1"/>
  <c r="H13" i="5"/>
  <c r="H14" i="12" s="1"/>
  <c r="H32" i="5"/>
  <c r="H39" i="12" s="1"/>
  <c r="H43" i="5"/>
  <c r="H54" i="12" s="1"/>
  <c r="K28" i="5"/>
  <c r="K32" i="12" s="1"/>
  <c r="K44" i="5"/>
  <c r="K15"/>
  <c r="K16" i="12" s="1"/>
  <c r="W29" i="5"/>
  <c r="X29" s="1"/>
  <c r="W44"/>
  <c r="AB28"/>
  <c r="AB33"/>
  <c r="AC33" s="1"/>
  <c r="AB44"/>
  <c r="AC44" s="1"/>
  <c r="AB29"/>
  <c r="AC29" s="1"/>
  <c r="AB34"/>
  <c r="T10" i="3"/>
  <c r="P62"/>
  <c r="V51" i="5"/>
  <c r="V45"/>
  <c r="V31"/>
  <c r="V55"/>
  <c r="V66" i="12" s="1"/>
  <c r="V41" i="5"/>
  <c r="AA41" s="1"/>
  <c r="I32" i="9"/>
  <c r="V32" i="5"/>
  <c r="AA32" s="1"/>
  <c r="V34"/>
  <c r="AA34" s="1"/>
  <c r="V21"/>
  <c r="AA21" s="1"/>
  <c r="V11"/>
  <c r="V42"/>
  <c r="V23"/>
  <c r="V46"/>
  <c r="V20"/>
  <c r="V47"/>
  <c r="V54"/>
  <c r="V65" i="12" s="1"/>
  <c r="V14" i="5"/>
  <c r="AA14" s="1"/>
  <c r="V13"/>
  <c r="AA13" s="1"/>
  <c r="V12"/>
  <c r="V44"/>
  <c r="AA44" s="1"/>
  <c r="V24"/>
  <c r="AA24" s="1"/>
  <c r="AD24" i="3"/>
  <c r="AB23"/>
  <c r="AC24"/>
  <c r="L42"/>
  <c r="AD42"/>
  <c r="F44"/>
  <c r="AD13"/>
  <c r="L13"/>
  <c r="R35"/>
  <c r="R34" i="12" s="1"/>
  <c r="Q34"/>
  <c r="AC35" i="3"/>
  <c r="AB34" i="12"/>
  <c r="AB34" i="3"/>
  <c r="AD41"/>
  <c r="AC41"/>
  <c r="AB40" i="12"/>
  <c r="W23" i="3"/>
  <c r="X24"/>
  <c r="W23" i="12"/>
  <c r="X23"/>
  <c r="L29" i="3"/>
  <c r="AD29"/>
  <c r="R29"/>
  <c r="R28" i="12" s="1"/>
  <c r="Q28"/>
  <c r="L25" i="3"/>
  <c r="AD25"/>
  <c r="K24" i="12"/>
  <c r="L18" i="3"/>
  <c r="AD18"/>
  <c r="X33"/>
  <c r="X55"/>
  <c r="X54" i="12" s="1"/>
  <c r="W54"/>
  <c r="AB27"/>
  <c r="AC28" i="3"/>
  <c r="AC27" i="12" s="1"/>
  <c r="X16" i="3"/>
  <c r="AC36"/>
  <c r="AC35" i="12" s="1"/>
  <c r="AB35"/>
  <c r="AD33" i="3"/>
  <c r="L33"/>
  <c r="K23"/>
  <c r="L24"/>
  <c r="AD53"/>
  <c r="L53"/>
  <c r="R20"/>
  <c r="R19" i="12" s="1"/>
  <c r="Q19"/>
  <c r="H26" i="3"/>
  <c r="H26" i="12"/>
  <c r="W16"/>
  <c r="F40"/>
  <c r="Y19"/>
  <c r="S35" i="6"/>
  <c r="S34" s="1"/>
  <c r="G53" i="12"/>
  <c r="G19"/>
  <c r="Y36"/>
  <c r="N26" i="3"/>
  <c r="H44" i="12"/>
  <c r="N44" i="3"/>
  <c r="T38"/>
  <c r="Z38"/>
  <c r="AC27"/>
  <c r="AB26"/>
  <c r="AC40"/>
  <c r="AC39" i="12" s="1"/>
  <c r="AB39"/>
  <c r="AB52" i="3"/>
  <c r="AC53"/>
  <c r="R27"/>
  <c r="Q26"/>
  <c r="Q26" i="12"/>
  <c r="K27"/>
  <c r="L28" i="3"/>
  <c r="L27" i="12" s="1"/>
  <c r="AD28" i="3"/>
  <c r="P42" i="5"/>
  <c r="P11"/>
  <c r="P14"/>
  <c r="P31"/>
  <c r="P12"/>
  <c r="P47"/>
  <c r="P55"/>
  <c r="P66" i="12"/>
  <c r="P34" i="5"/>
  <c r="P21"/>
  <c r="P53"/>
  <c r="P64" i="12"/>
  <c r="P24" i="5"/>
  <c r="P10"/>
  <c r="P41"/>
  <c r="P23"/>
  <c r="P22" s="1"/>
  <c r="P20"/>
  <c r="P44"/>
  <c r="P51"/>
  <c r="P62" i="12"/>
  <c r="P52" i="5"/>
  <c r="P63" i="12"/>
  <c r="P45" i="5"/>
  <c r="P54"/>
  <c r="P65" i="12" s="1"/>
  <c r="P32" i="5"/>
  <c r="P46"/>
  <c r="I47" i="2" s="1"/>
  <c r="P13" i="5"/>
  <c r="AC45" i="3"/>
  <c r="AB44" i="12"/>
  <c r="L20" i="3"/>
  <c r="K19" i="12"/>
  <c r="X28" i="3"/>
  <c r="X27" i="12" s="1"/>
  <c r="W27"/>
  <c r="AC32" i="3"/>
  <c r="AB31" i="12"/>
  <c r="AC25" i="3"/>
  <c r="AC24" i="12" s="1"/>
  <c r="AB24"/>
  <c r="R50" i="3"/>
  <c r="R49" i="12"/>
  <c r="Q49"/>
  <c r="L36" i="3"/>
  <c r="L35" i="12" s="1"/>
  <c r="AD36" i="3"/>
  <c r="K35" i="12"/>
  <c r="Q38" i="3"/>
  <c r="R39"/>
  <c r="Q38" i="12"/>
  <c r="W34" i="3"/>
  <c r="W31" s="1"/>
  <c r="W30" s="1"/>
  <c r="X35"/>
  <c r="X34" i="12" s="1"/>
  <c r="W34"/>
  <c r="AC21" i="3"/>
  <c r="AC20" i="12"/>
  <c r="AB20"/>
  <c r="Q20"/>
  <c r="AD20" s="1"/>
  <c r="R21" i="3"/>
  <c r="R20" i="12" s="1"/>
  <c r="K52" i="3"/>
  <c r="AD54"/>
  <c r="L54"/>
  <c r="K53" i="12"/>
  <c r="K44" i="3"/>
  <c r="K43" s="1"/>
  <c r="L45"/>
  <c r="AD45"/>
  <c r="K44" i="12"/>
  <c r="AC51" i="3"/>
  <c r="AB50" i="12"/>
  <c r="X32" i="3"/>
  <c r="L19"/>
  <c r="L48"/>
  <c r="L47" i="12" s="1"/>
  <c r="K47"/>
  <c r="AD48" i="3"/>
  <c r="T52"/>
  <c r="Z17" i="12"/>
  <c r="P38" i="3"/>
  <c r="P30" s="1"/>
  <c r="AD55"/>
  <c r="H44"/>
  <c r="K26"/>
  <c r="Z28" i="12"/>
  <c r="AD17" i="3"/>
  <c r="F16" i="12"/>
  <c r="F31"/>
  <c r="W38" i="3"/>
  <c r="X38"/>
  <c r="W26"/>
  <c r="X26"/>
  <c r="Y32" i="12"/>
  <c r="Y39"/>
  <c r="G39" i="6"/>
  <c r="G34" s="1"/>
  <c r="M35"/>
  <c r="G25"/>
  <c r="N10" i="3"/>
  <c r="N9"/>
  <c r="Z10"/>
  <c r="Z26"/>
  <c r="Z16" i="12"/>
  <c r="X18" i="3"/>
  <c r="W17" i="12"/>
  <c r="AC55" i="3"/>
  <c r="AB54" i="12"/>
  <c r="R24" i="3"/>
  <c r="Q23"/>
  <c r="R23"/>
  <c r="L47"/>
  <c r="L46" i="12"/>
  <c r="K46"/>
  <c r="AD47" i="3"/>
  <c r="W48" i="12"/>
  <c r="X49" i="3"/>
  <c r="X48" i="12" s="1"/>
  <c r="K34"/>
  <c r="AD35" i="3"/>
  <c r="L35"/>
  <c r="L34" i="12" s="1"/>
  <c r="K34" i="3"/>
  <c r="K31" s="1"/>
  <c r="AC15"/>
  <c r="R15"/>
  <c r="Q14" i="12"/>
  <c r="Y13"/>
  <c r="X12" i="3"/>
  <c r="W13" i="12"/>
  <c r="W10" i="3"/>
  <c r="AC19"/>
  <c r="R32"/>
  <c r="Q31"/>
  <c r="L40"/>
  <c r="AD40"/>
  <c r="K39" i="12"/>
  <c r="R42" i="3"/>
  <c r="Q41" i="12"/>
  <c r="R41" s="1"/>
  <c r="R36" i="3"/>
  <c r="R35" i="12" s="1"/>
  <c r="Q35"/>
  <c r="W52" i="3"/>
  <c r="X53"/>
  <c r="AD32"/>
  <c r="L32"/>
  <c r="X48"/>
  <c r="X47" i="12"/>
  <c r="W47"/>
  <c r="L17" i="3"/>
  <c r="X45"/>
  <c r="W44"/>
  <c r="W43" s="1"/>
  <c r="AB49" i="12"/>
  <c r="AC50" i="3"/>
  <c r="AC49" i="12" s="1"/>
  <c r="K49"/>
  <c r="AD49" s="1"/>
  <c r="L50" i="3"/>
  <c r="L49" i="12" s="1"/>
  <c r="AD50" i="3"/>
  <c r="R18"/>
  <c r="Q16"/>
  <c r="L41"/>
  <c r="R19"/>
  <c r="Q18" i="12"/>
  <c r="R45" i="3"/>
  <c r="Q44"/>
  <c r="Q44" i="12"/>
  <c r="Y16"/>
  <c r="Y13" i="6"/>
  <c r="Y10" s="1"/>
  <c r="T26" i="3"/>
  <c r="T23"/>
  <c r="T31"/>
  <c r="H38"/>
  <c r="H38" i="12"/>
  <c r="P43" i="3"/>
  <c r="AD29" i="6"/>
  <c r="AD27" i="3"/>
  <c r="Y45" i="12"/>
  <c r="AD39" i="3"/>
  <c r="G53" i="2"/>
  <c r="Q36" i="12"/>
  <c r="AD21" i="3"/>
  <c r="AB17" i="12"/>
  <c r="N24" i="5"/>
  <c r="N28" i="12" s="1"/>
  <c r="N31" i="5"/>
  <c r="N38"/>
  <c r="N45" i="12" s="1"/>
  <c r="N16" i="5"/>
  <c r="N17" i="12" s="1"/>
  <c r="N18" i="5"/>
  <c r="N19" i="12" s="1"/>
  <c r="P10" i="3"/>
  <c r="P9" s="1"/>
  <c r="P8" s="1"/>
  <c r="P60" s="1"/>
  <c r="V62"/>
  <c r="V62" i="12"/>
  <c r="Z44" i="3"/>
  <c r="F38" i="12"/>
  <c r="F54"/>
  <c r="F31" i="3"/>
  <c r="Y18" i="12"/>
  <c r="Y55"/>
  <c r="M13" i="6"/>
  <c r="M10" s="1"/>
  <c r="Y24" i="12"/>
  <c r="H24"/>
  <c r="E48" i="5"/>
  <c r="E59" s="1"/>
  <c r="X23" i="6"/>
  <c r="W21"/>
  <c r="W36" i="12"/>
  <c r="X37" i="3"/>
  <c r="AD45" i="6"/>
  <c r="AD37" i="3"/>
  <c r="K36" i="12"/>
  <c r="L37" i="3"/>
  <c r="L56"/>
  <c r="K55" i="12"/>
  <c r="AC37" i="3"/>
  <c r="AC36" i="12" s="1"/>
  <c r="AB36"/>
  <c r="AC56" i="3"/>
  <c r="N38" i="12"/>
  <c r="I28" i="11"/>
  <c r="J42" i="2"/>
  <c r="I25" i="11"/>
  <c r="J39" i="2"/>
  <c r="I16" i="11"/>
  <c r="I29"/>
  <c r="J43" i="2" s="1"/>
  <c r="I17" i="11"/>
  <c r="J31" i="2" s="1"/>
  <c r="I24" i="11"/>
  <c r="J38" i="2" s="1"/>
  <c r="I30" i="11"/>
  <c r="J44" i="2" s="1"/>
  <c r="I18" i="11"/>
  <c r="J32" i="2" s="1"/>
  <c r="I23" i="11"/>
  <c r="J37" i="2" s="1"/>
  <c r="I59" i="5"/>
  <c r="E34" i="7"/>
  <c r="I56" i="5"/>
  <c r="I61" i="12"/>
  <c r="I70"/>
  <c r="K70" s="1"/>
  <c r="J50" i="5"/>
  <c r="F22" i="10"/>
  <c r="H9" i="6"/>
  <c r="F35" i="2"/>
  <c r="W35"/>
  <c r="O15" i="9"/>
  <c r="E14"/>
  <c r="C15"/>
  <c r="F15"/>
  <c r="P15"/>
  <c r="I27" i="10"/>
  <c r="E27"/>
  <c r="F27" s="1"/>
  <c r="K27"/>
  <c r="AC14" i="3"/>
  <c r="AD14"/>
  <c r="AB10"/>
  <c r="M43" i="11"/>
  <c r="C43"/>
  <c r="D43" s="1"/>
  <c r="D44" s="1"/>
  <c r="R12" i="3"/>
  <c r="Q10"/>
  <c r="AD12"/>
  <c r="Q13" i="12"/>
  <c r="G14" i="1"/>
  <c r="I13"/>
  <c r="AD49" i="3"/>
  <c r="AB48" i="12"/>
  <c r="AD48" s="1"/>
  <c r="AC49" i="3"/>
  <c r="AC48" i="12" s="1"/>
  <c r="T22" i="11"/>
  <c r="T23"/>
  <c r="E25"/>
  <c r="U39" i="2"/>
  <c r="W39"/>
  <c r="K46" i="6"/>
  <c r="J46"/>
  <c r="AB24"/>
  <c r="T18" i="4"/>
  <c r="V18"/>
  <c r="U10"/>
  <c r="I17" i="7"/>
  <c r="O71" i="3"/>
  <c r="Q71" s="1"/>
  <c r="F23" i="10"/>
  <c r="F35"/>
  <c r="S15" i="9"/>
  <c r="I14"/>
  <c r="J15"/>
  <c r="T15" s="1"/>
  <c r="M51" i="11"/>
  <c r="R9" i="2"/>
  <c r="AC46" i="3"/>
  <c r="AB44"/>
  <c r="AD46"/>
  <c r="K35" i="4"/>
  <c r="K39" i="2"/>
  <c r="F39" s="1"/>
  <c r="K36" i="4"/>
  <c r="L38"/>
  <c r="F38"/>
  <c r="G38" s="1"/>
  <c r="F34" i="10"/>
  <c r="E33"/>
  <c r="F33"/>
  <c r="AD16" i="3"/>
  <c r="L16"/>
  <c r="K10"/>
  <c r="X46" i="12"/>
  <c r="E45" i="2"/>
  <c r="F25" i="10"/>
  <c r="F29"/>
  <c r="E28"/>
  <c r="F28"/>
  <c r="H51" i="4"/>
  <c r="I8"/>
  <c r="I8" i="2" s="1"/>
  <c r="D8" i="4"/>
  <c r="E8" s="1"/>
  <c r="E8" i="2" s="1"/>
  <c r="H8"/>
  <c r="T28"/>
  <c r="D28"/>
  <c r="J28"/>
  <c r="F28"/>
  <c r="N27" i="10"/>
  <c r="O36" i="2"/>
  <c r="P36"/>
  <c r="P27" i="10"/>
  <c r="F44"/>
  <c r="F37"/>
  <c r="F26"/>
  <c r="F18"/>
  <c r="G27" i="2"/>
  <c r="F46" i="10"/>
  <c r="F43"/>
  <c r="F30"/>
  <c r="F42"/>
  <c r="F45"/>
  <c r="F41"/>
  <c r="F38"/>
  <c r="F20"/>
  <c r="F47"/>
  <c r="R51" i="4"/>
  <c r="R8" i="2"/>
  <c r="S8" i="4"/>
  <c r="X19" i="3"/>
  <c r="AD19"/>
  <c r="W18" i="12"/>
  <c r="E21" i="10"/>
  <c r="K30" i="2"/>
  <c r="K21" i="10"/>
  <c r="G48" i="2"/>
  <c r="F36" i="10"/>
  <c r="D11" i="2"/>
  <c r="J11"/>
  <c r="H9"/>
  <c r="D10"/>
  <c r="D9" s="1"/>
  <c r="E24" i="10"/>
  <c r="F24" s="1"/>
  <c r="N24"/>
  <c r="O33" i="2" s="1"/>
  <c r="P24" i="10"/>
  <c r="P33" i="2"/>
  <c r="F33" s="1"/>
  <c r="M9" i="3"/>
  <c r="F31" i="2"/>
  <c r="F39" i="10"/>
  <c r="F19"/>
  <c r="G28" i="2"/>
  <c r="AB26" i="12"/>
  <c r="AB22" i="5"/>
  <c r="AB25" i="12"/>
  <c r="AC23" i="5"/>
  <c r="AD34"/>
  <c r="L34"/>
  <c r="G44" i="12"/>
  <c r="G36" i="5"/>
  <c r="H31" i="12"/>
  <c r="H26" i="5"/>
  <c r="Y44" i="12"/>
  <c r="Y36" i="5"/>
  <c r="AC18"/>
  <c r="AC19" i="12" s="1"/>
  <c r="AB19"/>
  <c r="R33" i="5"/>
  <c r="R40" i="12" s="1"/>
  <c r="Q40"/>
  <c r="F30" i="3"/>
  <c r="X10"/>
  <c r="E26"/>
  <c r="L26"/>
  <c r="R26"/>
  <c r="F43"/>
  <c r="AA20" i="5"/>
  <c r="AA19" s="1"/>
  <c r="V19"/>
  <c r="V40"/>
  <c r="V35"/>
  <c r="AA42"/>
  <c r="AA31"/>
  <c r="AA30" s="1"/>
  <c r="AA25" s="1"/>
  <c r="V30"/>
  <c r="V25"/>
  <c r="AD44"/>
  <c r="L44"/>
  <c r="R15"/>
  <c r="Q14"/>
  <c r="Q10" s="1"/>
  <c r="Q16" i="12"/>
  <c r="R27" i="5"/>
  <c r="Q26"/>
  <c r="AB53" i="12"/>
  <c r="AC42" i="5"/>
  <c r="AC53" i="12" s="1"/>
  <c r="AD39" i="5"/>
  <c r="L39"/>
  <c r="K40"/>
  <c r="L41"/>
  <c r="AD41"/>
  <c r="G26" i="12"/>
  <c r="G22" i="5"/>
  <c r="Y19"/>
  <c r="Y23" i="12"/>
  <c r="L16" i="5"/>
  <c r="L17" i="12"/>
  <c r="AD16" i="5"/>
  <c r="AD23"/>
  <c r="L23"/>
  <c r="K22"/>
  <c r="H23" i="12"/>
  <c r="H19" i="5"/>
  <c r="H22" i="12" s="1"/>
  <c r="AC15" i="5"/>
  <c r="AB14"/>
  <c r="AB15" i="12" s="1"/>
  <c r="AB16"/>
  <c r="K36" i="5"/>
  <c r="AD37"/>
  <c r="L37"/>
  <c r="AD32"/>
  <c r="L32"/>
  <c r="L31"/>
  <c r="K30"/>
  <c r="AD31"/>
  <c r="K38" i="12"/>
  <c r="X38" i="5"/>
  <c r="R23"/>
  <c r="Q22"/>
  <c r="R11"/>
  <c r="AB19"/>
  <c r="AC20"/>
  <c r="AC19" s="1"/>
  <c r="X20"/>
  <c r="W19"/>
  <c r="Z38" i="12"/>
  <c r="Z30" i="5"/>
  <c r="Z37" i="12"/>
  <c r="Y31"/>
  <c r="Y26" i="5"/>
  <c r="Y30" i="12" s="1"/>
  <c r="X31" i="5"/>
  <c r="W38" i="12"/>
  <c r="W30" i="5"/>
  <c r="W37" i="12" s="1"/>
  <c r="AC37" i="5"/>
  <c r="AC36" s="1"/>
  <c r="AB36"/>
  <c r="Q55" i="12"/>
  <c r="R44" i="5"/>
  <c r="R55" i="12" s="1"/>
  <c r="X42" i="5"/>
  <c r="X53" i="12" s="1"/>
  <c r="W53"/>
  <c r="AB22"/>
  <c r="AB55"/>
  <c r="L39"/>
  <c r="AB18"/>
  <c r="AD34"/>
  <c r="Z36"/>
  <c r="F51"/>
  <c r="AC40"/>
  <c r="AC54"/>
  <c r="H22" i="5"/>
  <c r="H25" i="12" s="1"/>
  <c r="H30" i="5"/>
  <c r="Z14"/>
  <c r="AC34" i="12"/>
  <c r="AC34" i="3"/>
  <c r="AC33" i="12" s="1"/>
  <c r="AB41"/>
  <c r="AC34" i="5"/>
  <c r="AC41" i="12"/>
  <c r="G19" i="5"/>
  <c r="G22" i="12"/>
  <c r="G23"/>
  <c r="AD13" i="5"/>
  <c r="K14" i="12"/>
  <c r="L13" i="5"/>
  <c r="L14" i="12" s="1"/>
  <c r="G14" i="5"/>
  <c r="G10" s="1"/>
  <c r="G9" s="1"/>
  <c r="G16" i="12"/>
  <c r="R42" i="5"/>
  <c r="R53" i="12"/>
  <c r="Q53"/>
  <c r="AC41" i="5"/>
  <c r="AB40"/>
  <c r="Y22"/>
  <c r="Y25" i="12" s="1"/>
  <c r="Y26"/>
  <c r="Q39"/>
  <c r="AD39" s="1"/>
  <c r="R32" i="5"/>
  <c r="R39" i="12" s="1"/>
  <c r="Q30" i="3"/>
  <c r="R31"/>
  <c r="W9"/>
  <c r="L52"/>
  <c r="AD52"/>
  <c r="AC26" i="12"/>
  <c r="L23" i="3"/>
  <c r="AD23"/>
  <c r="AC23"/>
  <c r="AC23" i="12"/>
  <c r="V22" i="5"/>
  <c r="AA23"/>
  <c r="G38" i="12"/>
  <c r="G30" i="5"/>
  <c r="G37" i="12" s="1"/>
  <c r="AD24" i="5"/>
  <c r="L24"/>
  <c r="H52" i="12"/>
  <c r="H40" i="5"/>
  <c r="H51" i="12"/>
  <c r="L11" i="5"/>
  <c r="AD11"/>
  <c r="K19"/>
  <c r="K22" i="12"/>
  <c r="L22" s="1"/>
  <c r="L20" i="5"/>
  <c r="AD20"/>
  <c r="X13"/>
  <c r="X14" i="12" s="1"/>
  <c r="W14"/>
  <c r="K45"/>
  <c r="AD38" i="5"/>
  <c r="L38"/>
  <c r="L45" i="12"/>
  <c r="AD21" i="5"/>
  <c r="L21"/>
  <c r="H33" i="12"/>
  <c r="H36"/>
  <c r="G36"/>
  <c r="G33"/>
  <c r="G13"/>
  <c r="Q52"/>
  <c r="Q40" i="5"/>
  <c r="Q51" i="12" s="1"/>
  <c r="R41" i="5"/>
  <c r="R40" s="1"/>
  <c r="W52" i="12"/>
  <c r="W40" i="5"/>
  <c r="W51" i="12" s="1"/>
  <c r="X41" i="5"/>
  <c r="X40"/>
  <c r="H16" i="12"/>
  <c r="H14" i="5"/>
  <c r="H15" i="12" s="1"/>
  <c r="R39" i="5"/>
  <c r="R50" i="12" s="1"/>
  <c r="Q50"/>
  <c r="Z52"/>
  <c r="Z40" i="5"/>
  <c r="Z51" i="12" s="1"/>
  <c r="X33" i="5"/>
  <c r="X40" i="12" s="1"/>
  <c r="W40"/>
  <c r="Q36" i="5"/>
  <c r="Q35" s="1"/>
  <c r="R37"/>
  <c r="R44" i="12" s="1"/>
  <c r="X37" i="5"/>
  <c r="X44" i="12" s="1"/>
  <c r="W36" i="5"/>
  <c r="W35" s="1"/>
  <c r="W44" i="12"/>
  <c r="AD44" s="1"/>
  <c r="F36" i="5"/>
  <c r="F35" s="1"/>
  <c r="F42" i="12" s="1"/>
  <c r="AB45"/>
  <c r="AB52"/>
  <c r="P50" i="5"/>
  <c r="K41" i="12"/>
  <c r="F26" i="5"/>
  <c r="F25" s="1"/>
  <c r="Q43" i="3"/>
  <c r="X52"/>
  <c r="R38"/>
  <c r="L24" i="12"/>
  <c r="L15" i="5"/>
  <c r="K14"/>
  <c r="AD15"/>
  <c r="AD17"/>
  <c r="L17"/>
  <c r="L18" i="12" s="1"/>
  <c r="AC24" i="5"/>
  <c r="AB28" i="12"/>
  <c r="AD43" i="5"/>
  <c r="L43"/>
  <c r="AC11"/>
  <c r="AC13" i="12" s="1"/>
  <c r="AB13"/>
  <c r="R20" i="5"/>
  <c r="Q19"/>
  <c r="Q22" i="12" s="1"/>
  <c r="Z26"/>
  <c r="Z22" i="5"/>
  <c r="Z25" i="12" s="1"/>
  <c r="Y30" i="5"/>
  <c r="Y37" i="12" s="1"/>
  <c r="Y38"/>
  <c r="G40" i="5"/>
  <c r="Q24" i="12"/>
  <c r="R24" s="1"/>
  <c r="R21" i="5"/>
  <c r="X23"/>
  <c r="W22"/>
  <c r="W25" i="12" s="1"/>
  <c r="W26"/>
  <c r="X34" i="5"/>
  <c r="W41" i="12"/>
  <c r="X41" s="1"/>
  <c r="AC38" i="3"/>
  <c r="R16"/>
  <c r="L34"/>
  <c r="AD34"/>
  <c r="K33" i="12"/>
  <c r="H43"/>
  <c r="L44"/>
  <c r="L44" i="3"/>
  <c r="L43" s="1"/>
  <c r="X34"/>
  <c r="W33" i="12"/>
  <c r="AC52" i="3"/>
  <c r="X23"/>
  <c r="AB33" i="12"/>
  <c r="AB31" i="3"/>
  <c r="AB30" s="1"/>
  <c r="V10" i="5"/>
  <c r="V9" s="1"/>
  <c r="V8" s="1"/>
  <c r="V48" s="1"/>
  <c r="AA11"/>
  <c r="AA10" s="1"/>
  <c r="J32" i="9"/>
  <c r="J35" s="1"/>
  <c r="S32"/>
  <c r="AB32" i="12"/>
  <c r="AC28" i="5"/>
  <c r="AC32" i="12" s="1"/>
  <c r="X44" i="5"/>
  <c r="L28"/>
  <c r="L32" i="12" s="1"/>
  <c r="AD28" i="5"/>
  <c r="Q17" i="12"/>
  <c r="AD17" s="1"/>
  <c r="R16" i="5"/>
  <c r="R17" i="12" s="1"/>
  <c r="L27" i="5"/>
  <c r="AD27"/>
  <c r="K26"/>
  <c r="K25" s="1"/>
  <c r="AB30"/>
  <c r="AB37" i="12" s="1"/>
  <c r="AC31" i="5"/>
  <c r="L42"/>
  <c r="L53" i="12"/>
  <c r="AD42" i="5"/>
  <c r="H13" i="12"/>
  <c r="H10" i="5"/>
  <c r="G26"/>
  <c r="G30" i="12" s="1"/>
  <c r="G31"/>
  <c r="W31"/>
  <c r="X27" i="5"/>
  <c r="W26"/>
  <c r="AD18"/>
  <c r="L18"/>
  <c r="L19" i="12" s="1"/>
  <c r="Y40" i="5"/>
  <c r="Y51" i="12" s="1"/>
  <c r="Y52"/>
  <c r="AD29" i="5"/>
  <c r="L29"/>
  <c r="L36" i="12" s="1"/>
  <c r="AD33" i="5"/>
  <c r="L33"/>
  <c r="Z23" i="12"/>
  <c r="Z19" i="5"/>
  <c r="X39"/>
  <c r="X50" i="12"/>
  <c r="W50"/>
  <c r="AC27" i="5"/>
  <c r="AC31" i="12" s="1"/>
  <c r="AB26" i="5"/>
  <c r="Q30"/>
  <c r="Q37" i="12" s="1"/>
  <c r="R31" i="5"/>
  <c r="R30" s="1"/>
  <c r="R37" i="12" s="1"/>
  <c r="R29" i="5"/>
  <c r="R33" i="12" s="1"/>
  <c r="Q33"/>
  <c r="AD33" s="1"/>
  <c r="Z44"/>
  <c r="Z36" i="5"/>
  <c r="Z35"/>
  <c r="Z31" i="12"/>
  <c r="Z26" i="5"/>
  <c r="Z25" s="1"/>
  <c r="X18"/>
  <c r="X19" i="12" s="1"/>
  <c r="W19"/>
  <c r="AD19" s="1"/>
  <c r="R38" i="5"/>
  <c r="X15"/>
  <c r="X16" i="12" s="1"/>
  <c r="W14" i="5"/>
  <c r="X21"/>
  <c r="X19"/>
  <c r="W24" i="12"/>
  <c r="X24"/>
  <c r="L55"/>
  <c r="H37"/>
  <c r="AC18"/>
  <c r="K18"/>
  <c r="AD18" s="1"/>
  <c r="AD35"/>
  <c r="AD27"/>
  <c r="Q54"/>
  <c r="F44"/>
  <c r="T9" i="3"/>
  <c r="AC50" i="12"/>
  <c r="H35" i="5"/>
  <c r="Y14"/>
  <c r="Y15" i="12" s="1"/>
  <c r="F19" i="5"/>
  <c r="AD38" i="3"/>
  <c r="AD36" i="12"/>
  <c r="X21" i="6"/>
  <c r="X28" i="12"/>
  <c r="F34" i="7"/>
  <c r="F37"/>
  <c r="L36" i="4"/>
  <c r="K37" i="2"/>
  <c r="S14" i="9"/>
  <c r="J14"/>
  <c r="T14" s="1"/>
  <c r="I15" i="7"/>
  <c r="J17"/>
  <c r="AB8" i="6"/>
  <c r="Q9" i="3"/>
  <c r="R59" i="4"/>
  <c r="I18" i="9"/>
  <c r="I13" s="1"/>
  <c r="S13" s="1"/>
  <c r="R62" i="4"/>
  <c r="R49" i="2"/>
  <c r="R60" s="1"/>
  <c r="S51" i="4"/>
  <c r="D8" i="2"/>
  <c r="L10" i="3"/>
  <c r="L9" s="1"/>
  <c r="L8" s="1"/>
  <c r="K36" i="2"/>
  <c r="L35" i="4"/>
  <c r="J35"/>
  <c r="J36" i="2" s="1"/>
  <c r="AC45" i="12"/>
  <c r="AC44" i="3"/>
  <c r="L46" i="6"/>
  <c r="E46"/>
  <c r="AD46" s="1"/>
  <c r="E23" i="11"/>
  <c r="F14" i="9"/>
  <c r="O14"/>
  <c r="D51" i="4"/>
  <c r="D62" s="1"/>
  <c r="H62"/>
  <c r="J62"/>
  <c r="I51"/>
  <c r="H49" i="2"/>
  <c r="H59" i="4"/>
  <c r="K9" i="3"/>
  <c r="E10"/>
  <c r="AD10" s="1"/>
  <c r="AB43"/>
  <c r="AD44"/>
  <c r="T10" i="4"/>
  <c r="V10"/>
  <c r="U9"/>
  <c r="T9" s="1"/>
  <c r="H14" i="1"/>
  <c r="R10" i="3"/>
  <c r="R9" s="1"/>
  <c r="R13" i="12"/>
  <c r="M15" i="9"/>
  <c r="C14"/>
  <c r="M14" s="1"/>
  <c r="D15"/>
  <c r="N15" s="1"/>
  <c r="AB9" i="3"/>
  <c r="F21" i="10"/>
  <c r="I14" i="1"/>
  <c r="I15" s="1"/>
  <c r="J15" s="1"/>
  <c r="J12" s="1"/>
  <c r="J30" i="2"/>
  <c r="S22" i="11"/>
  <c r="T13"/>
  <c r="T35" s="1"/>
  <c r="E22"/>
  <c r="M44"/>
  <c r="G15" i="1"/>
  <c r="H15"/>
  <c r="H12" s="1"/>
  <c r="AC26" i="5"/>
  <c r="H9"/>
  <c r="Y25"/>
  <c r="K10"/>
  <c r="K15" i="12"/>
  <c r="Z10" i="5"/>
  <c r="Z9" s="1"/>
  <c r="Z15" i="12"/>
  <c r="AB43"/>
  <c r="L26" i="5"/>
  <c r="R19"/>
  <c r="L36"/>
  <c r="F43" i="12"/>
  <c r="R26"/>
  <c r="X9" i="3"/>
  <c r="P61" i="12"/>
  <c r="P70" s="1"/>
  <c r="R70" s="1"/>
  <c r="L30" i="5"/>
  <c r="L38" i="12"/>
  <c r="G35" i="5"/>
  <c r="AD26"/>
  <c r="X22"/>
  <c r="X25" i="12" s="1"/>
  <c r="X26"/>
  <c r="L41"/>
  <c r="AD41"/>
  <c r="R30" i="3"/>
  <c r="AD30" i="5"/>
  <c r="K37" i="12"/>
  <c r="AD36" i="5"/>
  <c r="K35"/>
  <c r="L22"/>
  <c r="AD40"/>
  <c r="AD24" i="12"/>
  <c r="X52"/>
  <c r="X31"/>
  <c r="F30"/>
  <c r="Z43"/>
  <c r="W10" i="5"/>
  <c r="W9" s="1"/>
  <c r="G25"/>
  <c r="R52" i="12"/>
  <c r="Q25" i="5"/>
  <c r="R16" i="12"/>
  <c r="Y35" i="5"/>
  <c r="Y43" i="12"/>
  <c r="L31" i="3"/>
  <c r="L30" s="1"/>
  <c r="L33" i="12"/>
  <c r="X38"/>
  <c r="AC16"/>
  <c r="AC14" i="5"/>
  <c r="AC10" s="1"/>
  <c r="F26" i="3"/>
  <c r="F25" i="12" s="1"/>
  <c r="E25"/>
  <c r="H25" i="5"/>
  <c r="H8" s="1"/>
  <c r="H48" s="1"/>
  <c r="H56" s="1"/>
  <c r="H30" i="12"/>
  <c r="AC38"/>
  <c r="L14" i="5"/>
  <c r="X36"/>
  <c r="AD19"/>
  <c r="L16" i="12"/>
  <c r="AD22" i="5"/>
  <c r="L40"/>
  <c r="AC22"/>
  <c r="W8" i="3"/>
  <c r="W60" s="1"/>
  <c r="W68" s="1"/>
  <c r="F10"/>
  <c r="P14" i="9"/>
  <c r="F23"/>
  <c r="F47" s="1"/>
  <c r="F46" i="6"/>
  <c r="Q8" i="3"/>
  <c r="Q60" s="1"/>
  <c r="G12" i="1"/>
  <c r="S13" i="11"/>
  <c r="J14" i="1"/>
  <c r="J13" s="1"/>
  <c r="V9" i="4"/>
  <c r="I49" i="2"/>
  <c r="I62" i="4"/>
  <c r="AC43" i="3"/>
  <c r="J15" i="7"/>
  <c r="J25" s="1"/>
  <c r="J47" s="1"/>
  <c r="E51" i="4"/>
  <c r="S49" i="2"/>
  <c r="S62" i="4"/>
  <c r="R57" i="2"/>
  <c r="S59" i="4"/>
  <c r="S60" s="1"/>
  <c r="D59"/>
  <c r="E59"/>
  <c r="I59"/>
  <c r="H57" i="2"/>
  <c r="E18" i="9"/>
  <c r="J18"/>
  <c r="J27" s="1"/>
  <c r="J23"/>
  <c r="J22" s="1"/>
  <c r="T22" s="1"/>
  <c r="L10" i="5"/>
  <c r="L15" i="12"/>
  <c r="K9" i="5"/>
  <c r="T18" i="9"/>
  <c r="T23"/>
  <c r="W60" i="4"/>
  <c r="E60"/>
  <c r="I60"/>
  <c r="G19" i="1"/>
  <c r="H19" s="1"/>
  <c r="G25"/>
  <c r="E62" i="4"/>
  <c r="O18" i="9"/>
  <c r="F22"/>
  <c r="P22" s="1"/>
  <c r="G21" i="1"/>
  <c r="H21" s="1"/>
  <c r="H25"/>
  <c r="H23"/>
  <c r="H26" s="1"/>
  <c r="H27"/>
  <c r="G22"/>
  <c r="H38" i="11"/>
  <c r="I52" i="2" s="1"/>
  <c r="H29" i="11"/>
  <c r="I43" i="2" s="1"/>
  <c r="H15" i="11"/>
  <c r="I29" i="2" s="1"/>
  <c r="H37" i="11"/>
  <c r="H18"/>
  <c r="I32" i="2" s="1"/>
  <c r="H20" i="11"/>
  <c r="I34" i="2" s="1"/>
  <c r="H25" i="11"/>
  <c r="I39" i="2" s="1"/>
  <c r="H26" i="11"/>
  <c r="I40" i="2" s="1"/>
  <c r="H30" i="11"/>
  <c r="I44" i="2" s="1"/>
  <c r="H16" i="11"/>
  <c r="I30" i="2" s="1"/>
  <c r="H39" i="11"/>
  <c r="H42"/>
  <c r="I56" i="2"/>
  <c r="J45" i="11"/>
  <c r="H14"/>
  <c r="H33"/>
  <c r="H22"/>
  <c r="I36" i="2" s="1"/>
  <c r="H43" i="11"/>
  <c r="H44" s="1"/>
  <c r="D24"/>
  <c r="D34"/>
  <c r="D38"/>
  <c r="E52" i="2"/>
  <c r="E50"/>
  <c r="E51"/>
  <c r="E46"/>
  <c r="E43"/>
  <c r="D28" i="11"/>
  <c r="D18"/>
  <c r="D16"/>
  <c r="E30" i="2"/>
  <c r="D15" i="11"/>
  <c r="D26"/>
  <c r="E38" i="2" s="1"/>
  <c r="D30" i="11"/>
  <c r="E44" i="2" s="1"/>
  <c r="D21" i="11"/>
  <c r="E34" i="2"/>
  <c r="D20" i="11"/>
  <c r="D22"/>
  <c r="E36" i="2" s="1"/>
  <c r="D19" i="11"/>
  <c r="E31" i="2"/>
  <c r="D14" i="11"/>
  <c r="D13"/>
  <c r="D23"/>
  <c r="D35"/>
  <c r="O45"/>
  <c r="P33" s="1"/>
  <c r="Q47" i="2" s="1"/>
  <c r="M24" i="11"/>
  <c r="N38" i="2"/>
  <c r="M20" i="11"/>
  <c r="N34" i="2"/>
  <c r="M40" i="11"/>
  <c r="N54" i="2"/>
  <c r="M13" i="11"/>
  <c r="M33"/>
  <c r="N47" i="2"/>
  <c r="M28" i="11"/>
  <c r="N42" i="2"/>
  <c r="M39" i="11"/>
  <c r="M34"/>
  <c r="N48" i="2" s="1"/>
  <c r="M15" i="11"/>
  <c r="N10" i="2" s="1"/>
  <c r="N9" s="1"/>
  <c r="M18" i="11"/>
  <c r="N32" i="2"/>
  <c r="M31" i="11"/>
  <c r="N45" i="2"/>
  <c r="M30" i="11"/>
  <c r="N44" i="2"/>
  <c r="M32" i="11"/>
  <c r="N46" i="2"/>
  <c r="M25" i="11"/>
  <c r="N39" i="2"/>
  <c r="M14" i="11"/>
  <c r="R26"/>
  <c r="S40" i="2" s="1"/>
  <c r="R13" i="11"/>
  <c r="R23"/>
  <c r="S37" i="2" s="1"/>
  <c r="T45" i="11"/>
  <c r="U24" s="1"/>
  <c r="V38" i="2" s="1"/>
  <c r="R21" i="11"/>
  <c r="S35" i="2"/>
  <c r="R17" i="11"/>
  <c r="S31" i="2"/>
  <c r="R41" i="11"/>
  <c r="S55" i="2"/>
  <c r="R30" i="11"/>
  <c r="S44" i="2"/>
  <c r="R24" i="11"/>
  <c r="S38" i="2"/>
  <c r="R39" i="11"/>
  <c r="R40"/>
  <c r="S54" i="2" s="1"/>
  <c r="R31" i="11"/>
  <c r="S45" i="2" s="1"/>
  <c r="R22" i="11"/>
  <c r="S36" i="2" s="1"/>
  <c r="R15" i="11"/>
  <c r="S10" i="2" s="1"/>
  <c r="S9" s="1"/>
  <c r="R37" i="11"/>
  <c r="S51" i="2"/>
  <c r="S60" s="1"/>
  <c r="R51" i="11"/>
  <c r="P24"/>
  <c r="P15"/>
  <c r="P17"/>
  <c r="Q31" i="2" s="1"/>
  <c r="P29" i="11"/>
  <c r="P40"/>
  <c r="P20"/>
  <c r="Q34" i="2" s="1"/>
  <c r="P39" i="11"/>
  <c r="E35" i="2"/>
  <c r="I57"/>
  <c r="I58" s="1"/>
  <c r="K29" i="11"/>
  <c r="L43" i="2" s="1"/>
  <c r="K20" i="11"/>
  <c r="L34" i="2" s="1"/>
  <c r="K33" i="11"/>
  <c r="L47" i="2" s="1"/>
  <c r="K42" i="11"/>
  <c r="L56" i="2" s="1"/>
  <c r="K38" i="11"/>
  <c r="L52" i="2" s="1"/>
  <c r="K39" i="11"/>
  <c r="K31"/>
  <c r="L45" i="2"/>
  <c r="K22" i="11"/>
  <c r="L36" i="2"/>
  <c r="K21" i="11"/>
  <c r="K19"/>
  <c r="L33" i="2"/>
  <c r="K41" i="11"/>
  <c r="L55" i="2"/>
  <c r="K32" i="11"/>
  <c r="L46" i="2"/>
  <c r="K17" i="11"/>
  <c r="L31" i="2" s="1"/>
  <c r="K14" i="11"/>
  <c r="K34"/>
  <c r="L48" i="2" s="1"/>
  <c r="K28" i="11"/>
  <c r="L42" i="2" s="1"/>
  <c r="K37" i="11"/>
  <c r="L50" i="2" s="1"/>
  <c r="K26" i="11"/>
  <c r="K40"/>
  <c r="L54" i="2"/>
  <c r="K36" i="11"/>
  <c r="K23"/>
  <c r="L37" i="2" s="1"/>
  <c r="K16" i="11"/>
  <c r="L30" i="2" s="1"/>
  <c r="K25" i="11"/>
  <c r="L39" i="2" s="1"/>
  <c r="K15" i="11"/>
  <c r="L29" i="2" s="1"/>
  <c r="K27" i="11"/>
  <c r="L41" i="2"/>
  <c r="K30" i="11"/>
  <c r="L44" i="2"/>
  <c r="K18" i="11"/>
  <c r="L32" i="2"/>
  <c r="K24" i="11"/>
  <c r="L38" i="2"/>
  <c r="I10"/>
  <c r="I9" s="1"/>
  <c r="S29"/>
  <c r="U39" i="11"/>
  <c r="U29"/>
  <c r="V43" i="2" s="1"/>
  <c r="U27" i="11"/>
  <c r="V41" i="2" s="1"/>
  <c r="U36" i="11"/>
  <c r="D51"/>
  <c r="E32" i="2"/>
  <c r="E33"/>
  <c r="E41"/>
  <c r="E29"/>
  <c r="E10"/>
  <c r="H51" i="11"/>
  <c r="I51" i="2"/>
  <c r="I60"/>
  <c r="L51"/>
  <c r="H52" i="9"/>
  <c r="R52" s="1"/>
  <c r="R43"/>
  <c r="AC40" i="6"/>
  <c r="AC39" s="1"/>
  <c r="AB39"/>
  <c r="X58" i="3"/>
  <c r="E58"/>
  <c r="AD58" s="1"/>
  <c r="P19" i="2"/>
  <c r="O19" s="1"/>
  <c r="P16" i="10"/>
  <c r="Q19" i="2" s="1"/>
  <c r="O15" i="10"/>
  <c r="O14" s="1"/>
  <c r="E16"/>
  <c r="F16" s="1"/>
  <c r="X49" i="6"/>
  <c r="E49"/>
  <c r="W61" i="12"/>
  <c r="E50" i="6"/>
  <c r="K62" i="12"/>
  <c r="L50" i="6"/>
  <c r="X54"/>
  <c r="AC54" s="1"/>
  <c r="E54"/>
  <c r="W66" i="12"/>
  <c r="Q65"/>
  <c r="R53" i="6"/>
  <c r="E53"/>
  <c r="F18" i="9"/>
  <c r="F27" s="1"/>
  <c r="Z11" i="12"/>
  <c r="D14" i="9"/>
  <c r="N14" s="1"/>
  <c r="AC44" i="12"/>
  <c r="AC18" i="6"/>
  <c r="R18"/>
  <c r="D16" i="9"/>
  <c r="N16"/>
  <c r="D17"/>
  <c r="N17"/>
  <c r="D20"/>
  <c r="L53" i="2"/>
  <c r="U50" i="5"/>
  <c r="V52"/>
  <c r="U63" i="12"/>
  <c r="W64"/>
  <c r="X52" i="6"/>
  <c r="E52"/>
  <c r="R50"/>
  <c r="R62" i="12"/>
  <c r="Q62"/>
  <c r="Z8" i="5"/>
  <c r="Z48" s="1"/>
  <c r="Z56" s="1"/>
  <c r="AD53" i="12"/>
  <c r="X39" i="6"/>
  <c r="X51" i="12" s="1"/>
  <c r="R18"/>
  <c r="X44" i="3"/>
  <c r="X17" i="12"/>
  <c r="AD47"/>
  <c r="P40" i="5"/>
  <c r="P35" s="1"/>
  <c r="P30"/>
  <c r="P25" s="1"/>
  <c r="F14"/>
  <c r="F10" s="1"/>
  <c r="F9" s="1"/>
  <c r="F8" s="1"/>
  <c r="AD56" i="3"/>
  <c r="V43"/>
  <c r="V38"/>
  <c r="V30" s="1"/>
  <c r="R54" i="12"/>
  <c r="R44" i="3"/>
  <c r="Y24" i="6"/>
  <c r="Y8" s="1"/>
  <c r="Y47" s="1"/>
  <c r="Y55" s="1"/>
  <c r="Y18"/>
  <c r="S21"/>
  <c r="S24"/>
  <c r="H10" i="3"/>
  <c r="AD31" i="6"/>
  <c r="Q21"/>
  <c r="AC25"/>
  <c r="AC24" s="1"/>
  <c r="F9"/>
  <c r="F8"/>
  <c r="F47" s="1"/>
  <c r="AC55" i="12"/>
  <c r="G44" i="3"/>
  <c r="M52"/>
  <c r="D19" i="7"/>
  <c r="AD12" i="12"/>
  <c r="M9" i="6"/>
  <c r="Y9"/>
  <c r="AD46" i="12"/>
  <c r="G24" i="6"/>
  <c r="AD16" i="12"/>
  <c r="AC14"/>
  <c r="T47" i="6"/>
  <c r="T55" s="1"/>
  <c r="AB9"/>
  <c r="V10" i="3"/>
  <c r="M24" i="6"/>
  <c r="G10"/>
  <c r="G9" s="1"/>
  <c r="H43" i="3"/>
  <c r="Z43"/>
  <c r="Z42" i="12" s="1"/>
  <c r="N31" i="3"/>
  <c r="X13" i="6"/>
  <c r="AC29"/>
  <c r="AC13"/>
  <c r="AC10" s="1"/>
  <c r="G26" i="3"/>
  <c r="AA24" i="6"/>
  <c r="AA8" s="1"/>
  <c r="AA47" s="1"/>
  <c r="AA55" s="1"/>
  <c r="J39"/>
  <c r="J34" s="1"/>
  <c r="D16" i="7"/>
  <c r="G45" i="5"/>
  <c r="G56" i="12" s="1"/>
  <c r="S52" i="11"/>
  <c r="T27" i="9"/>
  <c r="Q11" i="12"/>
  <c r="R11" s="1"/>
  <c r="X31" i="3"/>
  <c r="X33" i="12"/>
  <c r="AC40" i="5"/>
  <c r="AC35"/>
  <c r="AD31" i="3"/>
  <c r="Z9"/>
  <c r="Z22" i="12"/>
  <c r="Q9" i="6"/>
  <c r="Q25" i="12"/>
  <c r="E13" i="9"/>
  <c r="O13" s="1"/>
  <c r="L25" i="5"/>
  <c r="E11" i="12"/>
  <c r="F11" s="1"/>
  <c r="R38"/>
  <c r="X14" i="5"/>
  <c r="AB25"/>
  <c r="AC51" i="12"/>
  <c r="Q15"/>
  <c r="X18"/>
  <c r="R52" i="3"/>
  <c r="S10" i="6"/>
  <c r="AC16" i="3"/>
  <c r="AC15" i="12" s="1"/>
  <c r="AC17"/>
  <c r="AC26" i="3"/>
  <c r="AC28" i="12"/>
  <c r="I39" i="9"/>
  <c r="I40" i="7"/>
  <c r="U55" i="6"/>
  <c r="U63"/>
  <c r="V47"/>
  <c r="AB35" i="5"/>
  <c r="V9" i="3"/>
  <c r="V8" s="1"/>
  <c r="V60" s="1"/>
  <c r="C64" i="12"/>
  <c r="C50" i="5"/>
  <c r="C56" s="1"/>
  <c r="J15" i="10"/>
  <c r="K19" i="2"/>
  <c r="K16" i="10"/>
  <c r="AD26" i="3"/>
  <c r="W28" i="12"/>
  <c r="AB14"/>
  <c r="AD14" s="1"/>
  <c r="F33"/>
  <c r="F26"/>
  <c r="X32" i="5"/>
  <c r="X39" i="12" s="1"/>
  <c r="W21"/>
  <c r="AD21" s="1"/>
  <c r="W18" i="6"/>
  <c r="W22" i="12" s="1"/>
  <c r="R26" i="6"/>
  <c r="W13"/>
  <c r="R54" i="5"/>
  <c r="R45"/>
  <c r="R53"/>
  <c r="R64" i="12" s="1"/>
  <c r="R50" i="5"/>
  <c r="E52" i="10"/>
  <c r="K20" i="2"/>
  <c r="K17" i="10"/>
  <c r="L20" i="2" s="1"/>
  <c r="U20"/>
  <c r="T20" s="1"/>
  <c r="U17" i="10"/>
  <c r="V20" i="2" s="1"/>
  <c r="U16" i="10"/>
  <c r="V19" i="2" s="1"/>
  <c r="T15" i="10"/>
  <c r="U19" i="2"/>
  <c r="T19" s="1"/>
  <c r="G63" i="12"/>
  <c r="G50" i="5"/>
  <c r="G61" i="12" s="1"/>
  <c r="S28" i="11"/>
  <c r="S18"/>
  <c r="S16"/>
  <c r="S17"/>
  <c r="S23"/>
  <c r="S29"/>
  <c r="S24"/>
  <c r="S25"/>
  <c r="S30"/>
  <c r="W62" i="12"/>
  <c r="T33" i="9"/>
  <c r="E15" i="7"/>
  <c r="G25" i="12"/>
  <c r="F15"/>
  <c r="X43" i="3"/>
  <c r="AC52" i="6"/>
  <c r="AC64" i="12" s="1"/>
  <c r="X64"/>
  <c r="U61"/>
  <c r="U70" s="1"/>
  <c r="W70" s="1"/>
  <c r="I34" i="7"/>
  <c r="U59" i="5"/>
  <c r="U56"/>
  <c r="D24" i="9"/>
  <c r="N20"/>
  <c r="P18"/>
  <c r="AD54" i="6"/>
  <c r="F54"/>
  <c r="E57" i="12"/>
  <c r="AD57" s="1"/>
  <c r="F58" i="3"/>
  <c r="G43" i="12"/>
  <c r="H9" i="3"/>
  <c r="H10" i="12" s="1"/>
  <c r="H11"/>
  <c r="E64"/>
  <c r="F53" i="6"/>
  <c r="X66" i="12"/>
  <c r="AC66"/>
  <c r="P15" i="10"/>
  <c r="AD53" i="6"/>
  <c r="Y22" i="12"/>
  <c r="J20" i="2"/>
  <c r="AD13" i="6"/>
  <c r="W10"/>
  <c r="X10" s="1"/>
  <c r="X9" s="1"/>
  <c r="W15" i="12"/>
  <c r="AD15" s="1"/>
  <c r="J14" i="10"/>
  <c r="K14" s="1"/>
  <c r="E15"/>
  <c r="F15" s="1"/>
  <c r="K15"/>
  <c r="V55" i="6"/>
  <c r="V56" s="1"/>
  <c r="V63"/>
  <c r="S39" i="9"/>
  <c r="J39"/>
  <c r="T39" s="1"/>
  <c r="S8" i="6"/>
  <c r="F15" i="7"/>
  <c r="F25" s="1"/>
  <c r="E20"/>
  <c r="E14" s="1"/>
  <c r="E22" s="1"/>
  <c r="T14" i="10"/>
  <c r="AD18" i="6"/>
  <c r="J19" i="2"/>
  <c r="J40" i="7"/>
  <c r="J43" s="1"/>
  <c r="R43" i="3"/>
  <c r="AB29" i="12"/>
  <c r="AC10" i="3"/>
  <c r="X30" i="5"/>
  <c r="X37" i="12" s="1"/>
  <c r="X15"/>
  <c r="X30" i="3"/>
  <c r="X8"/>
  <c r="X60" s="1"/>
  <c r="X68" s="1"/>
  <c r="X69" s="1"/>
  <c r="O13" i="10"/>
  <c r="N13" s="1"/>
  <c r="P14"/>
  <c r="F57" i="12"/>
  <c r="U67"/>
  <c r="P27" i="9"/>
  <c r="J34" i="7"/>
  <c r="J37"/>
  <c r="J35" s="1"/>
  <c r="C34"/>
  <c r="D34" s="1"/>
  <c r="D37"/>
  <c r="X22" i="12"/>
  <c r="T12" i="10"/>
  <c r="S12" s="1"/>
  <c r="U14"/>
  <c r="F47" i="7"/>
  <c r="J42" i="9"/>
  <c r="T42" s="1"/>
  <c r="I14" i="10"/>
  <c r="J12"/>
  <c r="J40" s="1"/>
  <c r="K40" s="1"/>
  <c r="K58" s="1"/>
  <c r="E14"/>
  <c r="F14" s="1"/>
  <c r="W9" i="6"/>
  <c r="W10" i="12" s="1"/>
  <c r="X10" s="1"/>
  <c r="P13" i="10"/>
  <c r="K12"/>
  <c r="F22" i="7"/>
  <c r="F26" s="1"/>
  <c r="F48" s="1"/>
  <c r="T40" i="10"/>
  <c r="S40"/>
  <c r="F24" i="7"/>
  <c r="AD37" i="12" l="1"/>
  <c r="AC9" i="5"/>
  <c r="AC11" i="12"/>
  <c r="Q14" i="9"/>
  <c r="G18"/>
  <c r="H14"/>
  <c r="S23" i="10"/>
  <c r="S29"/>
  <c r="T38" i="2" s="1"/>
  <c r="S33" i="10"/>
  <c r="S21"/>
  <c r="S35"/>
  <c r="T44" i="2" s="1"/>
  <c r="S22" i="10"/>
  <c r="T31" i="2" s="1"/>
  <c r="S30" i="10"/>
  <c r="T39" i="2" s="1"/>
  <c r="S28" i="10"/>
  <c r="T37" i="2" s="1"/>
  <c r="S34" i="10"/>
  <c r="T43" i="2" s="1"/>
  <c r="K63" i="12"/>
  <c r="E51" i="6"/>
  <c r="L51"/>
  <c r="L63" i="12" s="1"/>
  <c r="R66" i="3"/>
  <c r="Q62"/>
  <c r="Q61" i="12" s="1"/>
  <c r="E66" i="3"/>
  <c r="E63"/>
  <c r="F63" s="1"/>
  <c r="L63"/>
  <c r="K62"/>
  <c r="S32" i="5"/>
  <c r="S39" i="12" s="1"/>
  <c r="S13" i="5"/>
  <c r="S14" i="12" s="1"/>
  <c r="S28" i="5"/>
  <c r="S32" i="12" s="1"/>
  <c r="S18" i="5"/>
  <c r="S19" i="12" s="1"/>
  <c r="S27" i="5"/>
  <c r="S29"/>
  <c r="S21"/>
  <c r="S24" i="12" s="1"/>
  <c r="S16" i="5"/>
  <c r="S17" i="12" s="1"/>
  <c r="S31" i="5"/>
  <c r="S38"/>
  <c r="S45" i="12" s="1"/>
  <c r="S37" i="5"/>
  <c r="S33"/>
  <c r="S40" i="12" s="1"/>
  <c r="S20" i="5"/>
  <c r="S44"/>
  <c r="S55" i="12" s="1"/>
  <c r="S23" i="5"/>
  <c r="S34"/>
  <c r="S17"/>
  <c r="S18" i="12" s="1"/>
  <c r="S15" i="5"/>
  <c r="S39"/>
  <c r="S50" i="12" s="1"/>
  <c r="S42" i="5"/>
  <c r="S53" i="12" s="1"/>
  <c r="S11" i="5"/>
  <c r="S43"/>
  <c r="S54" i="12" s="1"/>
  <c r="S24" i="5"/>
  <c r="S28" i="12" s="1"/>
  <c r="S41" i="5"/>
  <c r="M27"/>
  <c r="M24"/>
  <c r="M28" i="12" s="1"/>
  <c r="M18" i="5"/>
  <c r="M19" i="12" s="1"/>
  <c r="M21" i="5"/>
  <c r="M24" i="12" s="1"/>
  <c r="M23" i="5"/>
  <c r="M38"/>
  <c r="M15"/>
  <c r="M20"/>
  <c r="M33"/>
  <c r="M40" i="12" s="1"/>
  <c r="M39" i="5"/>
  <c r="M50" i="12" s="1"/>
  <c r="M44" i="5"/>
  <c r="M55" i="12" s="1"/>
  <c r="M43" i="5"/>
  <c r="M54" i="12" s="1"/>
  <c r="M17" i="5"/>
  <c r="M18" i="12" s="1"/>
  <c r="M31" i="5"/>
  <c r="M28"/>
  <c r="M29"/>
  <c r="M11"/>
  <c r="M41"/>
  <c r="M37"/>
  <c r="M34"/>
  <c r="M13"/>
  <c r="M14" i="12" s="1"/>
  <c r="M32" i="5"/>
  <c r="M39" i="12" s="1"/>
  <c r="M16" i="5"/>
  <c r="M17" i="12" s="1"/>
  <c r="M42" i="5"/>
  <c r="M53" i="12" s="1"/>
  <c r="I12" i="10"/>
  <c r="E13"/>
  <c r="F13" s="1"/>
  <c r="W11" i="12"/>
  <c r="X11" s="1"/>
  <c r="J13" i="10"/>
  <c r="AC49" i="6"/>
  <c r="AC61" i="12" s="1"/>
  <c r="T32" i="2"/>
  <c r="L62" i="12"/>
  <c r="E9" i="2"/>
  <c r="P23" i="9"/>
  <c r="L35" i="5"/>
  <c r="E9" i="3"/>
  <c r="AB8"/>
  <c r="AD14" i="5"/>
  <c r="L19"/>
  <c r="G8"/>
  <c r="G48" s="1"/>
  <c r="AC22" i="12"/>
  <c r="AC35" i="6"/>
  <c r="H24"/>
  <c r="H8" s="1"/>
  <c r="K64" i="12"/>
  <c r="L52" i="6"/>
  <c r="R67" i="3"/>
  <c r="R66" i="12" s="1"/>
  <c r="E67" i="3"/>
  <c r="Q66" i="12"/>
  <c r="T13" i="5"/>
  <c r="T14" i="12" s="1"/>
  <c r="T15" i="5"/>
  <c r="T32"/>
  <c r="T39" i="12" s="1"/>
  <c r="T24" i="5"/>
  <c r="T28" i="12" s="1"/>
  <c r="T16" i="5"/>
  <c r="T17" i="12" s="1"/>
  <c r="T28" i="5"/>
  <c r="T32" i="12" s="1"/>
  <c r="T42" i="5"/>
  <c r="T53" i="12" s="1"/>
  <c r="T20" i="5"/>
  <c r="T41"/>
  <c r="T27"/>
  <c r="T44"/>
  <c r="T55" i="12" s="1"/>
  <c r="T29" i="5"/>
  <c r="T31"/>
  <c r="T11"/>
  <c r="T23"/>
  <c r="T37"/>
  <c r="T21"/>
  <c r="T24" i="12" s="1"/>
  <c r="T38" i="5"/>
  <c r="T45" i="12" s="1"/>
  <c r="T18" i="5"/>
  <c r="T19" i="12" s="1"/>
  <c r="T39" i="5"/>
  <c r="T50" i="12" s="1"/>
  <c r="T34" i="5"/>
  <c r="T43"/>
  <c r="T54" i="12" s="1"/>
  <c r="T17" i="5"/>
  <c r="T18" i="12" s="1"/>
  <c r="T33" i="5"/>
  <c r="T40" i="12" s="1"/>
  <c r="N37" i="5"/>
  <c r="N44" i="12" s="1"/>
  <c r="N28" i="5"/>
  <c r="N32" i="12" s="1"/>
  <c r="N21" i="5"/>
  <c r="N24" i="12" s="1"/>
  <c r="N32" i="5"/>
  <c r="N13"/>
  <c r="N14" i="12" s="1"/>
  <c r="N43" i="5"/>
  <c r="N54" i="12" s="1"/>
  <c r="N27" i="5"/>
  <c r="N31" i="12" s="1"/>
  <c r="N41" i="5"/>
  <c r="N52" i="12" s="1"/>
  <c r="N20" i="5"/>
  <c r="N33"/>
  <c r="N40" i="12" s="1"/>
  <c r="N11" i="5"/>
  <c r="N13" i="12" s="1"/>
  <c r="N34" i="5"/>
  <c r="N15"/>
  <c r="N16" i="12" s="1"/>
  <c r="N44" i="5"/>
  <c r="N55" i="12" s="1"/>
  <c r="N23" i="5"/>
  <c r="N26" i="12" s="1"/>
  <c r="N17" i="5"/>
  <c r="N18" i="12" s="1"/>
  <c r="T42" i="2"/>
  <c r="R65" i="12"/>
  <c r="F19" i="2"/>
  <c r="F48" i="5"/>
  <c r="AC34" i="6"/>
  <c r="L9" i="5"/>
  <c r="L8" s="1"/>
  <c r="L48" s="1"/>
  <c r="L56" s="1"/>
  <c r="L57" s="1"/>
  <c r="Q68" i="3"/>
  <c r="R8"/>
  <c r="R60" s="1"/>
  <c r="AC43" i="12"/>
  <c r="AA40" i="5"/>
  <c r="AA35" s="1"/>
  <c r="X36" i="12"/>
  <c r="AD23"/>
  <c r="AC30" i="5"/>
  <c r="AC37" i="12" s="1"/>
  <c r="X13"/>
  <c r="J48" i="5"/>
  <c r="N24" i="6"/>
  <c r="N39" i="5"/>
  <c r="N50" i="12" s="1"/>
  <c r="AD33" i="6"/>
  <c r="Z9"/>
  <c r="Z10" i="12" s="1"/>
  <c r="N13" i="6"/>
  <c r="N10" s="1"/>
  <c r="Y43" i="3"/>
  <c r="Y42" i="12" s="1"/>
  <c r="S10" i="3"/>
  <c r="AD65"/>
  <c r="F44" i="2"/>
  <c r="R39" i="6"/>
  <c r="R51" i="12" s="1"/>
  <c r="H34" i="6"/>
  <c r="H42" i="12" s="1"/>
  <c r="N29" i="6"/>
  <c r="F46" i="2"/>
  <c r="I42"/>
  <c r="M34" i="6"/>
  <c r="T43" i="3"/>
  <c r="P19" i="5"/>
  <c r="AD38" i="12"/>
  <c r="R22" i="5"/>
  <c r="Z8" i="6"/>
  <c r="Z47" s="1"/>
  <c r="Z55" s="1"/>
  <c r="N52" i="3"/>
  <c r="N43" s="1"/>
  <c r="AA67" i="12"/>
  <c r="AA68" s="1"/>
  <c r="L29" i="6"/>
  <c r="L37" i="12" s="1"/>
  <c r="L64"/>
  <c r="R21" i="6"/>
  <c r="R9" s="1"/>
  <c r="R52" i="5"/>
  <c r="R63" i="12" s="1"/>
  <c r="R46" i="5"/>
  <c r="K65" i="12"/>
  <c r="X62"/>
  <c r="F40" i="2"/>
  <c r="D37"/>
  <c r="N51"/>
  <c r="AD61" i="6"/>
  <c r="V68" i="3"/>
  <c r="V69" s="1"/>
  <c r="V71"/>
  <c r="X71" s="1"/>
  <c r="F56" i="5"/>
  <c r="F57" s="1"/>
  <c r="F59"/>
  <c r="AC9" i="3"/>
  <c r="F26" i="9"/>
  <c r="P26" s="1"/>
  <c r="AD50" i="6"/>
  <c r="F50"/>
  <c r="F62" i="12" s="1"/>
  <c r="J26" i="9"/>
  <c r="T26" s="1"/>
  <c r="J51"/>
  <c r="T43" i="11"/>
  <c r="U35"/>
  <c r="T51"/>
  <c r="S35"/>
  <c r="R22" i="12"/>
  <c r="AD22"/>
  <c r="R26" i="5"/>
  <c r="J56"/>
  <c r="J57" s="1"/>
  <c r="J59"/>
  <c r="V64" i="12"/>
  <c r="AA53" i="5"/>
  <c r="AA64" i="12" s="1"/>
  <c r="T48" i="10"/>
  <c r="U40"/>
  <c r="U58" s="1"/>
  <c r="X61" i="12"/>
  <c r="AB51"/>
  <c r="AB34" i="6"/>
  <c r="AB47" s="1"/>
  <c r="AB55" s="1"/>
  <c r="F46" i="9"/>
  <c r="P46" s="1"/>
  <c r="P47"/>
  <c r="P68" i="3"/>
  <c r="P69" s="1"/>
  <c r="P71"/>
  <c r="R71" s="1"/>
  <c r="K30"/>
  <c r="AD43"/>
  <c r="J48" i="10"/>
  <c r="I40"/>
  <c r="J58"/>
  <c r="S14"/>
  <c r="T13"/>
  <c r="U10" i="2"/>
  <c r="D48" i="9"/>
  <c r="N48" s="1"/>
  <c r="N24"/>
  <c r="U15" i="10"/>
  <c r="V18" i="2" s="1"/>
  <c r="U18"/>
  <c r="AD52" i="6"/>
  <c r="F52"/>
  <c r="F64" i="12" s="1"/>
  <c r="V50" i="5"/>
  <c r="AA52"/>
  <c r="AA63" i="12" s="1"/>
  <c r="V63"/>
  <c r="AD49" i="6"/>
  <c r="F49"/>
  <c r="N14" i="10"/>
  <c r="O12"/>
  <c r="AD9" i="3"/>
  <c r="E10" i="12"/>
  <c r="F10" s="1"/>
  <c r="F9" i="3"/>
  <c r="K8" i="5"/>
  <c r="T35" i="9"/>
  <c r="J34"/>
  <c r="T34" s="1"/>
  <c r="AB60" i="3"/>
  <c r="AB68" s="1"/>
  <c r="F46" i="7"/>
  <c r="AB42" i="12"/>
  <c r="T58" i="10"/>
  <c r="U12"/>
  <c r="E23" i="7"/>
  <c r="F20"/>
  <c r="F29" s="1"/>
  <c r="X10" i="5"/>
  <c r="X9" s="1"/>
  <c r="AD35"/>
  <c r="R31" i="12"/>
  <c r="C61"/>
  <c r="S9" i="6"/>
  <c r="G8"/>
  <c r="G47" s="1"/>
  <c r="G55" s="1"/>
  <c r="E62" i="12"/>
  <c r="AD62" s="1"/>
  <c r="D23" i="9"/>
  <c r="R14" i="12"/>
  <c r="AC52"/>
  <c r="Q9" i="5"/>
  <c r="AD64" i="12"/>
  <c r="AC42"/>
  <c r="AC25" i="5"/>
  <c r="AC8" s="1"/>
  <c r="AC48" s="1"/>
  <c r="AC56" s="1"/>
  <c r="AC57" s="1"/>
  <c r="X26"/>
  <c r="AA22"/>
  <c r="AA9" s="1"/>
  <c r="AA8" s="1"/>
  <c r="AA48" s="1"/>
  <c r="AA56" s="1"/>
  <c r="AA57" s="1"/>
  <c r="G56"/>
  <c r="M8" i="6"/>
  <c r="M47" s="1"/>
  <c r="M55" s="1"/>
  <c r="S47"/>
  <c r="S55" s="1"/>
  <c r="D47"/>
  <c r="D42" i="12"/>
  <c r="E32" i="9"/>
  <c r="E33" i="7"/>
  <c r="T36" i="9"/>
  <c r="E40" i="7"/>
  <c r="E39" i="9"/>
  <c r="I55" i="6"/>
  <c r="I63"/>
  <c r="J47"/>
  <c r="N29" i="2"/>
  <c r="U22" i="11"/>
  <c r="U23"/>
  <c r="U25"/>
  <c r="U16"/>
  <c r="V30" i="2" s="1"/>
  <c r="U28" i="11"/>
  <c r="V42" i="2" s="1"/>
  <c r="U17" i="11"/>
  <c r="V31" i="2" s="1"/>
  <c r="U21" i="11"/>
  <c r="V35" i="2" s="1"/>
  <c r="U20" i="11"/>
  <c r="V34" i="2" s="1"/>
  <c r="U33" i="11"/>
  <c r="V47" i="2" s="1"/>
  <c r="U34" i="11"/>
  <c r="V48" i="2" s="1"/>
  <c r="U41" i="11"/>
  <c r="V55" i="2" s="1"/>
  <c r="U32" i="11"/>
  <c r="V46" i="2" s="1"/>
  <c r="U13" i="11"/>
  <c r="U18"/>
  <c r="V32" i="2" s="1"/>
  <c r="U42" i="11"/>
  <c r="V56" i="2" s="1"/>
  <c r="U38" i="11"/>
  <c r="V52" i="2" s="1"/>
  <c r="U30" i="11"/>
  <c r="V44" i="2" s="1"/>
  <c r="U15" i="11"/>
  <c r="V29" i="2" s="1"/>
  <c r="U31" i="11"/>
  <c r="V45" i="2" s="1"/>
  <c r="U26" i="11"/>
  <c r="V40" i="2" s="1"/>
  <c r="U19" i="11"/>
  <c r="V33" i="2" s="1"/>
  <c r="U40" i="11"/>
  <c r="V54" i="2" s="1"/>
  <c r="U37" i="11"/>
  <c r="E45"/>
  <c r="P14"/>
  <c r="P36"/>
  <c r="P31"/>
  <c r="P37"/>
  <c r="P26"/>
  <c r="Q40" i="2" s="1"/>
  <c r="P32" i="11"/>
  <c r="Q46" i="2" s="1"/>
  <c r="P13" i="11"/>
  <c r="P23"/>
  <c r="P22"/>
  <c r="Q36" i="2" s="1"/>
  <c r="P27" i="11"/>
  <c r="P25"/>
  <c r="Q39" i="2" s="1"/>
  <c r="P16" i="11"/>
  <c r="Q30" i="2" s="1"/>
  <c r="P19" i="11"/>
  <c r="Q33" i="2" s="1"/>
  <c r="P21" i="11"/>
  <c r="Q35" i="2" s="1"/>
  <c r="P18" i="11"/>
  <c r="Q32" i="2" s="1"/>
  <c r="P41" i="11"/>
  <c r="Q55" i="2" s="1"/>
  <c r="P38" i="11"/>
  <c r="Q52" i="2" s="1"/>
  <c r="P30" i="11"/>
  <c r="Q44" i="2" s="1"/>
  <c r="P34" i="11"/>
  <c r="Q48" i="2" s="1"/>
  <c r="P42" i="11"/>
  <c r="S57" i="2"/>
  <c r="J47" i="9"/>
  <c r="X35" i="5"/>
  <c r="S18" i="9"/>
  <c r="H60" i="2"/>
  <c r="I12" i="1"/>
  <c r="W25" i="5"/>
  <c r="AB30" i="12"/>
  <c r="R14" i="5"/>
  <c r="R15" i="12" s="1"/>
  <c r="R36" i="5"/>
  <c r="T32" i="9"/>
  <c r="Y10" i="5"/>
  <c r="R36" i="12"/>
  <c r="Z30"/>
  <c r="AC31" i="3"/>
  <c r="AB10" i="5"/>
  <c r="AD10" s="1"/>
  <c r="N22"/>
  <c r="N25" i="12" s="1"/>
  <c r="N14" i="5"/>
  <c r="N36"/>
  <c r="J13" i="11"/>
  <c r="P20" i="2"/>
  <c r="E17" i="10"/>
  <c r="F17" s="1"/>
  <c r="G20" i="2" s="1"/>
  <c r="C68" i="3"/>
  <c r="C67" i="12" s="1"/>
  <c r="C59"/>
  <c r="O63" i="6"/>
  <c r="G40" i="7"/>
  <c r="H40" s="1"/>
  <c r="H43" s="1"/>
  <c r="H42" s="1"/>
  <c r="J42" s="1"/>
  <c r="P47" i="6"/>
  <c r="G39" i="9"/>
  <c r="O55" i="6"/>
  <c r="P9" i="5"/>
  <c r="P8" s="1"/>
  <c r="P48" s="1"/>
  <c r="O8"/>
  <c r="O48" s="1"/>
  <c r="T14" i="11"/>
  <c r="E16"/>
  <c r="E27"/>
  <c r="F27" s="1"/>
  <c r="O35"/>
  <c r="N27"/>
  <c r="N23"/>
  <c r="O37" i="2" s="1"/>
  <c r="N16" i="11"/>
  <c r="U36" i="4"/>
  <c r="U35"/>
  <c r="V38"/>
  <c r="V39" i="2" s="1"/>
  <c r="F19" i="4"/>
  <c r="G19" s="1"/>
  <c r="G19" i="2" s="1"/>
  <c r="P18" i="4"/>
  <c r="J43" i="9"/>
  <c r="T43" s="1"/>
  <c r="T40"/>
  <c r="O33"/>
  <c r="F33"/>
  <c r="C33"/>
  <c r="AC21" i="6"/>
  <c r="AC9" s="1"/>
  <c r="I14" i="3"/>
  <c r="K24" i="2"/>
  <c r="F24" s="1"/>
  <c r="M12" i="10"/>
  <c r="N8" i="2" s="1"/>
  <c r="L40" i="10"/>
  <c r="Q50" i="4"/>
  <c r="O59" i="3"/>
  <c r="V50" i="4"/>
  <c r="U59" i="3"/>
  <c r="N29" i="5"/>
  <c r="N42"/>
  <c r="L33" i="6"/>
  <c r="D43" i="12"/>
  <c r="AD16" i="6"/>
  <c r="L66" i="3"/>
  <c r="L65" i="12" s="1"/>
  <c r="J63"/>
  <c r="P29" i="6"/>
  <c r="P24" s="1"/>
  <c r="P8" s="1"/>
  <c r="F40" i="4"/>
  <c r="G40" s="1"/>
  <c r="U41" i="2"/>
  <c r="W41" s="1"/>
  <c r="Q41" i="4"/>
  <c r="T28" i="10"/>
  <c r="U28" s="1"/>
  <c r="P43" i="2"/>
  <c r="F43" s="1"/>
  <c r="O28" i="11"/>
  <c r="U30" i="2"/>
  <c r="P46" i="6"/>
  <c r="I48" i="2" s="1"/>
  <c r="AL71" i="4"/>
  <c r="K42" i="6"/>
  <c r="W37"/>
  <c r="Q27"/>
  <c r="K38"/>
  <c r="W43"/>
  <c r="AD43" s="1"/>
  <c r="K40"/>
  <c r="K22"/>
  <c r="Q37"/>
  <c r="W27"/>
  <c r="K26"/>
  <c r="K11"/>
  <c r="K23"/>
  <c r="M46" i="3"/>
  <c r="M33"/>
  <c r="G16"/>
  <c r="G53"/>
  <c r="J49" i="6"/>
  <c r="E41" i="7"/>
  <c r="E40" i="9"/>
  <c r="P33" i="10"/>
  <c r="P45"/>
  <c r="Q54" i="2" s="1"/>
  <c r="P20" i="10"/>
  <c r="Q29" i="2" s="1"/>
  <c r="P18" i="10"/>
  <c r="Q27" i="2" s="1"/>
  <c r="P28" i="10"/>
  <c r="Q37" i="2" s="1"/>
  <c r="P34" i="10"/>
  <c r="Q43" i="2" s="1"/>
  <c r="P47" i="10"/>
  <c r="Q56" i="2" s="1"/>
  <c r="P36" i="10"/>
  <c r="Q45" i="2" s="1"/>
  <c r="P29" i="10"/>
  <c r="Q38" i="2" s="1"/>
  <c r="P44" i="10"/>
  <c r="F19" i="7"/>
  <c r="E15" i="1"/>
  <c r="F30" i="4"/>
  <c r="G30" s="1"/>
  <c r="K26" i="10"/>
  <c r="L35" i="2" s="1"/>
  <c r="E51" i="10"/>
  <c r="E31"/>
  <c r="F31" s="1"/>
  <c r="U29" i="2"/>
  <c r="E26" i="11"/>
  <c r="F26" s="1"/>
  <c r="G38" i="2" s="1"/>
  <c r="O32" i="10"/>
  <c r="N51" i="4"/>
  <c r="M62"/>
  <c r="L19"/>
  <c r="L19" i="2" s="1"/>
  <c r="K18" i="4"/>
  <c r="P29" i="2"/>
  <c r="O29" s="1"/>
  <c r="L39" i="4"/>
  <c r="L40" i="2" s="1"/>
  <c r="R12" i="10"/>
  <c r="S8" i="2" s="1"/>
  <c r="D11" i="4"/>
  <c r="E11" s="1"/>
  <c r="E11" i="2" s="1"/>
  <c r="O31" i="4"/>
  <c r="O32" i="2" s="1"/>
  <c r="O43" i="4"/>
  <c r="O44" i="2" s="1"/>
  <c r="N39" i="12" l="1"/>
  <c r="N30" i="5"/>
  <c r="N37" i="12" s="1"/>
  <c r="T44"/>
  <c r="T36" i="5"/>
  <c r="T13" i="12"/>
  <c r="T33"/>
  <c r="T36"/>
  <c r="T26" i="5"/>
  <c r="T31" i="12"/>
  <c r="T19" i="5"/>
  <c r="T22" i="12" s="1"/>
  <c r="T23"/>
  <c r="T14" i="5"/>
  <c r="T15" i="12" s="1"/>
  <c r="T16"/>
  <c r="K13" i="10"/>
  <c r="I13"/>
  <c r="M52" i="12"/>
  <c r="M40" i="5"/>
  <c r="M51" i="12" s="1"/>
  <c r="M36"/>
  <c r="M33"/>
  <c r="M30" i="5"/>
  <c r="M37" i="12" s="1"/>
  <c r="M38"/>
  <c r="M19" i="5"/>
  <c r="M22" i="12" s="1"/>
  <c r="M23"/>
  <c r="S52"/>
  <c r="S40" i="5"/>
  <c r="S51" i="12" s="1"/>
  <c r="S16"/>
  <c r="S14" i="5"/>
  <c r="S15" i="12" s="1"/>
  <c r="S33"/>
  <c r="S36"/>
  <c r="L62" i="3"/>
  <c r="L61" i="12" s="1"/>
  <c r="K61"/>
  <c r="E62" i="3"/>
  <c r="F66"/>
  <c r="F65" i="12" s="1"/>
  <c r="E65"/>
  <c r="AD65" s="1"/>
  <c r="R14" i="9"/>
  <c r="H23"/>
  <c r="AD66" i="3"/>
  <c r="S9"/>
  <c r="N8" i="6"/>
  <c r="N47" s="1"/>
  <c r="N55" s="1"/>
  <c r="N9"/>
  <c r="N23" i="12"/>
  <c r="N19" i="5"/>
  <c r="N22" i="12" s="1"/>
  <c r="T26"/>
  <c r="T22" i="5"/>
  <c r="T38" i="12"/>
  <c r="T30" i="5"/>
  <c r="T37" i="12" s="1"/>
  <c r="T40" i="5"/>
  <c r="T51" i="12" s="1"/>
  <c r="T52"/>
  <c r="F67" i="3"/>
  <c r="F66" i="12" s="1"/>
  <c r="E66"/>
  <c r="AD66" s="1"/>
  <c r="AD67" i="3"/>
  <c r="M44" i="12"/>
  <c r="M36" i="5"/>
  <c r="M35" s="1"/>
  <c r="M13" i="12"/>
  <c r="M16"/>
  <c r="M14" i="5"/>
  <c r="M15" i="12" s="1"/>
  <c r="M22" i="5"/>
  <c r="M25" i="12" s="1"/>
  <c r="M26"/>
  <c r="M26" i="5"/>
  <c r="M25" s="1"/>
  <c r="M31" i="12"/>
  <c r="S13"/>
  <c r="S10" i="5"/>
  <c r="S26" i="12"/>
  <c r="S22" i="5"/>
  <c r="S25" i="12" s="1"/>
  <c r="S19" i="5"/>
  <c r="S22" i="12" s="1"/>
  <c r="S23"/>
  <c r="S36" i="5"/>
  <c r="S44" i="12"/>
  <c r="S38"/>
  <c r="S30" i="5"/>
  <c r="S37" i="12" s="1"/>
  <c r="S26" i="5"/>
  <c r="S31" i="12"/>
  <c r="AD51" i="6"/>
  <c r="V53" i="2" s="1"/>
  <c r="F51" i="6"/>
  <c r="F63" i="12" s="1"/>
  <c r="E63"/>
  <c r="AD63" s="1"/>
  <c r="Q18" i="9"/>
  <c r="G13"/>
  <c r="Q13" s="1"/>
  <c r="H18"/>
  <c r="R25" i="12"/>
  <c r="R68" i="3"/>
  <c r="R69" s="1"/>
  <c r="H47" i="6"/>
  <c r="H55" s="1"/>
  <c r="D55" s="1"/>
  <c r="AD63" i="3"/>
  <c r="R62"/>
  <c r="R61" i="12" s="1"/>
  <c r="C18" i="9"/>
  <c r="L18" i="4"/>
  <c r="L18" i="2" s="1"/>
  <c r="J18" i="4"/>
  <c r="K10"/>
  <c r="F18"/>
  <c r="G18" s="1"/>
  <c r="G18" i="2" s="1"/>
  <c r="K18"/>
  <c r="N32" i="10"/>
  <c r="O41" i="2" s="1"/>
  <c r="E32" i="10"/>
  <c r="F32" s="1"/>
  <c r="P41" i="2"/>
  <c r="F41" s="1"/>
  <c r="P32" i="10"/>
  <c r="Q41" i="2" s="1"/>
  <c r="W29"/>
  <c r="T29"/>
  <c r="F41" i="7"/>
  <c r="F44" s="1"/>
  <c r="C41"/>
  <c r="D41" s="1"/>
  <c r="D44" s="1"/>
  <c r="G52" i="3"/>
  <c r="G52" i="12"/>
  <c r="M31" i="3"/>
  <c r="M32" i="12"/>
  <c r="L23" i="6"/>
  <c r="L28" i="12" s="1"/>
  <c r="AD23" i="6"/>
  <c r="K28" i="12"/>
  <c r="AD28" s="1"/>
  <c r="L26" i="6"/>
  <c r="AD26"/>
  <c r="K25"/>
  <c r="R37"/>
  <c r="AD37"/>
  <c r="Q45" i="12"/>
  <c r="Q35" i="6"/>
  <c r="K39"/>
  <c r="K52" i="12"/>
  <c r="AD52" s="1"/>
  <c r="L40" i="6"/>
  <c r="AD40"/>
  <c r="L38"/>
  <c r="K35"/>
  <c r="AD38"/>
  <c r="K50" i="12"/>
  <c r="AD50" s="1"/>
  <c r="X37" i="6"/>
  <c r="W35"/>
  <c r="W45" i="12"/>
  <c r="T30" i="2"/>
  <c r="W30"/>
  <c r="F30"/>
  <c r="N26" i="5"/>
  <c r="N33" i="12"/>
  <c r="N36"/>
  <c r="J14" i="3"/>
  <c r="J10" s="1"/>
  <c r="J9" s="1"/>
  <c r="J8" s="1"/>
  <c r="J60" s="1"/>
  <c r="I10"/>
  <c r="I9" s="1"/>
  <c r="I8" s="1"/>
  <c r="I60" s="1"/>
  <c r="D33" i="9"/>
  <c r="M33"/>
  <c r="T35" i="4"/>
  <c r="T36" i="2" s="1"/>
  <c r="V35" i="4"/>
  <c r="V36" i="2" s="1"/>
  <c r="F35" i="4"/>
  <c r="G35" s="1"/>
  <c r="U36" i="2"/>
  <c r="U8" i="4"/>
  <c r="S14" i="11"/>
  <c r="U14"/>
  <c r="P56" i="5"/>
  <c r="P57" s="1"/>
  <c r="P59"/>
  <c r="Q39" i="9"/>
  <c r="H39"/>
  <c r="I13" i="11"/>
  <c r="J35"/>
  <c r="E13"/>
  <c r="F13" s="1"/>
  <c r="K13"/>
  <c r="N43" i="12"/>
  <c r="AC30" i="3"/>
  <c r="AC29" i="12" s="1"/>
  <c r="AC30"/>
  <c r="J46" i="9"/>
  <c r="T46" s="1"/>
  <c r="T47"/>
  <c r="Q50" i="2"/>
  <c r="Q51"/>
  <c r="F41" i="11"/>
  <c r="G55" i="2" s="1"/>
  <c r="F15" i="11"/>
  <c r="G29" i="2" s="1"/>
  <c r="F19" i="11"/>
  <c r="G33" i="2" s="1"/>
  <c r="F39" i="11"/>
  <c r="F32"/>
  <c r="G46" i="2" s="1"/>
  <c r="F36" i="11"/>
  <c r="F29"/>
  <c r="G43" i="2" s="1"/>
  <c r="F25" i="11"/>
  <c r="G39" i="2" s="1"/>
  <c r="F37" i="11"/>
  <c r="F31"/>
  <c r="G45" i="2" s="1"/>
  <c r="F34" i="11"/>
  <c r="F42"/>
  <c r="G56" i="2" s="1"/>
  <c r="F40" i="11"/>
  <c r="G54" i="2" s="1"/>
  <c r="F24" i="11"/>
  <c r="F18"/>
  <c r="G32" i="2" s="1"/>
  <c r="F38" i="11"/>
  <c r="G52" i="2" s="1"/>
  <c r="F23" i="11"/>
  <c r="F33"/>
  <c r="F17"/>
  <c r="F21"/>
  <c r="G35" i="2" s="1"/>
  <c r="F30" i="11"/>
  <c r="G44" i="2" s="1"/>
  <c r="F20" i="11"/>
  <c r="G34" i="2" s="1"/>
  <c r="F22" i="11"/>
  <c r="F40" i="7"/>
  <c r="F43" s="1"/>
  <c r="F42" s="1"/>
  <c r="C40"/>
  <c r="D40" s="1"/>
  <c r="D43" s="1"/>
  <c r="D42" s="1"/>
  <c r="F32" i="9"/>
  <c r="O32"/>
  <c r="Q10" i="12"/>
  <c r="R10" s="1"/>
  <c r="Q8" i="5"/>
  <c r="D22" i="9"/>
  <c r="N22" s="1"/>
  <c r="N23"/>
  <c r="D47"/>
  <c r="F23" i="7"/>
  <c r="F30" s="1"/>
  <c r="F52" s="1"/>
  <c r="F55" i="6"/>
  <c r="V59" i="5"/>
  <c r="V61" i="12"/>
  <c r="V56" i="5"/>
  <c r="V57" s="1"/>
  <c r="U13" i="10"/>
  <c r="S13"/>
  <c r="K48"/>
  <c r="K49" s="1"/>
  <c r="I49" s="1"/>
  <c r="I48"/>
  <c r="AD30" i="3"/>
  <c r="K8"/>
  <c r="S48" i="10"/>
  <c r="U48"/>
  <c r="U49" s="1"/>
  <c r="S43" i="11"/>
  <c r="U43"/>
  <c r="U44" s="1"/>
  <c r="S44" s="1"/>
  <c r="G31" i="2"/>
  <c r="G41"/>
  <c r="F29"/>
  <c r="W8" i="5"/>
  <c r="V10" i="2"/>
  <c r="V9" s="1"/>
  <c r="AD25" i="5"/>
  <c r="K31" i="12"/>
  <c r="AD31" s="1"/>
  <c r="AC25"/>
  <c r="N62" i="4"/>
  <c r="F15" i="1"/>
  <c r="F12" s="1"/>
  <c r="E12"/>
  <c r="F40" i="9"/>
  <c r="C40"/>
  <c r="O40"/>
  <c r="J55" i="6"/>
  <c r="J56" s="1"/>
  <c r="J63"/>
  <c r="J61" i="12"/>
  <c r="J70" s="1"/>
  <c r="L70" s="1"/>
  <c r="G10" i="3"/>
  <c r="G15" i="12"/>
  <c r="M44" i="3"/>
  <c r="M45" i="12"/>
  <c r="L11" i="6"/>
  <c r="L13" i="12" s="1"/>
  <c r="AD11" i="6"/>
  <c r="K10"/>
  <c r="K13" i="12"/>
  <c r="AD13" s="1"/>
  <c r="X27" i="6"/>
  <c r="W25"/>
  <c r="W32" i="12"/>
  <c r="L22" i="6"/>
  <c r="K21"/>
  <c r="AD22"/>
  <c r="K26" i="12"/>
  <c r="AD26" s="1"/>
  <c r="X43" i="6"/>
  <c r="X55" i="12" s="1"/>
  <c r="W55"/>
  <c r="AD55" s="1"/>
  <c r="R27" i="6"/>
  <c r="Q32" i="12"/>
  <c r="AD32" s="1"/>
  <c r="Q25" i="6"/>
  <c r="L42"/>
  <c r="K40" i="12"/>
  <c r="AD40" s="1"/>
  <c r="K54"/>
  <c r="AD54" s="1"/>
  <c r="AD42" i="6"/>
  <c r="E28" i="11"/>
  <c r="F28" s="1"/>
  <c r="G42" i="2" s="1"/>
  <c r="P28" i="11"/>
  <c r="Q42" i="2" s="1"/>
  <c r="N40" i="5"/>
  <c r="N51" i="12" s="1"/>
  <c r="N53"/>
  <c r="W59" i="3"/>
  <c r="X59" s="1"/>
  <c r="V59"/>
  <c r="Q59"/>
  <c r="P59"/>
  <c r="L58" i="10"/>
  <c r="C40"/>
  <c r="M40"/>
  <c r="L48"/>
  <c r="M49" i="2"/>
  <c r="P33" i="9"/>
  <c r="F36"/>
  <c r="P10" i="4"/>
  <c r="O18"/>
  <c r="G17" i="7"/>
  <c r="Q18" i="4"/>
  <c r="Q18" i="2" s="1"/>
  <c r="P18"/>
  <c r="O18" s="1"/>
  <c r="V36" i="4"/>
  <c r="V37" i="2" s="1"/>
  <c r="U37"/>
  <c r="F37" s="1"/>
  <c r="F36" i="4"/>
  <c r="G36" s="1"/>
  <c r="G37" i="2" s="1"/>
  <c r="O51" i="11"/>
  <c r="P35"/>
  <c r="P51" s="1"/>
  <c r="O43"/>
  <c r="N35"/>
  <c r="E14"/>
  <c r="F14" s="1"/>
  <c r="F16"/>
  <c r="G30" i="2" s="1"/>
  <c r="O59" i="5"/>
  <c r="O56"/>
  <c r="G33" i="7"/>
  <c r="H33" s="1"/>
  <c r="H36" s="1"/>
  <c r="H35" s="1"/>
  <c r="G32" i="9"/>
  <c r="P55" i="6"/>
  <c r="P56" s="1"/>
  <c r="P63"/>
  <c r="O20" i="2"/>
  <c r="F20"/>
  <c r="N15" i="12"/>
  <c r="N10" i="5"/>
  <c r="AB9"/>
  <c r="AB11" i="12"/>
  <c r="Y11"/>
  <c r="Y9" i="5"/>
  <c r="R35"/>
  <c r="I19" i="1"/>
  <c r="I25"/>
  <c r="S58" i="2"/>
  <c r="V51"/>
  <c r="U51" i="11"/>
  <c r="V50" i="2"/>
  <c r="F39" i="9"/>
  <c r="O39"/>
  <c r="C39"/>
  <c r="F33" i="7"/>
  <c r="F36" s="1"/>
  <c r="F35" s="1"/>
  <c r="C33"/>
  <c r="D33" s="1"/>
  <c r="D36" s="1"/>
  <c r="D35" s="1"/>
  <c r="X25" i="5"/>
  <c r="F51" i="7"/>
  <c r="F50" s="1"/>
  <c r="F28"/>
  <c r="K48" i="5"/>
  <c r="O40" i="10"/>
  <c r="P12"/>
  <c r="N12"/>
  <c r="E12"/>
  <c r="F12" s="1"/>
  <c r="T18" i="2"/>
  <c r="W18"/>
  <c r="T10"/>
  <c r="W10"/>
  <c r="U9"/>
  <c r="T9" s="1"/>
  <c r="R25" i="5"/>
  <c r="T51" i="9"/>
  <c r="AC10" i="12"/>
  <c r="AC8" i="3"/>
  <c r="G40" i="2"/>
  <c r="P42"/>
  <c r="F42" s="1"/>
  <c r="AD27" i="6"/>
  <c r="J52" i="9"/>
  <c r="T52" s="1"/>
  <c r="AC8" i="6"/>
  <c r="AC47" s="1"/>
  <c r="AC55" s="1"/>
  <c r="AC56" s="1"/>
  <c r="X8" i="5"/>
  <c r="X48" s="1"/>
  <c r="X56" s="1"/>
  <c r="X57" s="1"/>
  <c r="R10"/>
  <c r="R9" s="1"/>
  <c r="R8" s="1"/>
  <c r="R48" s="1"/>
  <c r="R56" s="1"/>
  <c r="R57" s="1"/>
  <c r="M18" i="9" l="1"/>
  <c r="D18"/>
  <c r="C13"/>
  <c r="M13" s="1"/>
  <c r="R18"/>
  <c r="H27"/>
  <c r="H47"/>
  <c r="H22"/>
  <c r="R22" s="1"/>
  <c r="R23"/>
  <c r="AD62" i="3"/>
  <c r="F62"/>
  <c r="F61" i="12" s="1"/>
  <c r="E61"/>
  <c r="AD61" s="1"/>
  <c r="T25" i="5"/>
  <c r="T30" i="12"/>
  <c r="S9" i="5"/>
  <c r="M10"/>
  <c r="S25"/>
  <c r="S30" i="12"/>
  <c r="S35" i="5"/>
  <c r="S42" i="12" s="1"/>
  <c r="S43"/>
  <c r="T25"/>
  <c r="T43"/>
  <c r="T35" i="5"/>
  <c r="J50" i="9"/>
  <c r="T50" s="1"/>
  <c r="S11" i="12"/>
  <c r="T10" i="5"/>
  <c r="T11" i="12" s="1"/>
  <c r="D39" i="9"/>
  <c r="M39"/>
  <c r="F42"/>
  <c r="P39"/>
  <c r="J25" i="1"/>
  <c r="J23" s="1"/>
  <c r="E25"/>
  <c r="Y8" i="5"/>
  <c r="Y48" s="1"/>
  <c r="Y56" s="1"/>
  <c r="Y10" i="12"/>
  <c r="N11"/>
  <c r="N9" i="5"/>
  <c r="H32" i="9"/>
  <c r="Q32"/>
  <c r="P36"/>
  <c r="M60" i="2"/>
  <c r="D49"/>
  <c r="D60" s="1"/>
  <c r="M58" i="10"/>
  <c r="M48"/>
  <c r="E59" i="3"/>
  <c r="AD59"/>
  <c r="R59"/>
  <c r="L54" i="12"/>
  <c r="L40"/>
  <c r="AD21" i="6"/>
  <c r="K25" i="12"/>
  <c r="AD25" s="1"/>
  <c r="X25" i="6"/>
  <c r="X32" i="12"/>
  <c r="L10" i="6"/>
  <c r="K9"/>
  <c r="AD10"/>
  <c r="K11" i="12"/>
  <c r="M43"/>
  <c r="M43" i="3"/>
  <c r="M42" i="12" s="1"/>
  <c r="G11"/>
  <c r="G9" i="3"/>
  <c r="F43" i="9"/>
  <c r="P43" s="1"/>
  <c r="P40"/>
  <c r="K60" i="3"/>
  <c r="E8"/>
  <c r="Q48" i="5"/>
  <c r="Q56" s="1"/>
  <c r="G50" i="2"/>
  <c r="G51"/>
  <c r="J43" i="11"/>
  <c r="I35"/>
  <c r="E35"/>
  <c r="J51"/>
  <c r="K35"/>
  <c r="K51" s="1"/>
  <c r="R39" i="9"/>
  <c r="H42"/>
  <c r="U51" i="4"/>
  <c r="V8"/>
  <c r="V8" i="2" s="1"/>
  <c r="T8" i="4"/>
  <c r="U8" i="2"/>
  <c r="N33" i="9"/>
  <c r="D36"/>
  <c r="J71" i="3"/>
  <c r="L71" s="1"/>
  <c r="J68"/>
  <c r="J69" s="1"/>
  <c r="W34" i="6"/>
  <c r="W43" i="12"/>
  <c r="K34" i="6"/>
  <c r="K43" i="12"/>
  <c r="AD35" i="6"/>
  <c r="Q43" i="12"/>
  <c r="Q34" i="6"/>
  <c r="K24"/>
  <c r="AD25"/>
  <c r="K30" i="12"/>
  <c r="L25" i="6"/>
  <c r="L31" i="12"/>
  <c r="J18" i="2"/>
  <c r="F18"/>
  <c r="J10" i="4"/>
  <c r="K9"/>
  <c r="L10"/>
  <c r="L10" i="2" s="1"/>
  <c r="L9" s="1"/>
  <c r="K8" i="4"/>
  <c r="F10"/>
  <c r="K10" i="2"/>
  <c r="G36"/>
  <c r="AC60" i="3"/>
  <c r="AC68" s="1"/>
  <c r="AC69" s="1"/>
  <c r="AC9" i="12"/>
  <c r="AC59" s="1"/>
  <c r="AC67" s="1"/>
  <c r="AC68" s="1"/>
  <c r="P40" i="10"/>
  <c r="P58" s="1"/>
  <c r="O58"/>
  <c r="O48"/>
  <c r="E40"/>
  <c r="N40"/>
  <c r="K56" i="5"/>
  <c r="J19" i="1"/>
  <c r="E19"/>
  <c r="I21"/>
  <c r="AB10" i="12"/>
  <c r="AB8" i="5"/>
  <c r="P43" i="11"/>
  <c r="P44" s="1"/>
  <c r="N44" s="1"/>
  <c r="N43"/>
  <c r="H17" i="7"/>
  <c r="C17"/>
  <c r="G15"/>
  <c r="P9" i="4"/>
  <c r="P8"/>
  <c r="Q10"/>
  <c r="Q10" i="2" s="1"/>
  <c r="Q9" s="1"/>
  <c r="O10" i="4"/>
  <c r="P10" i="2"/>
  <c r="M57"/>
  <c r="C48" i="10"/>
  <c r="D40"/>
  <c r="C58"/>
  <c r="Q24" i="6"/>
  <c r="Q30" i="12"/>
  <c r="R25" i="6"/>
  <c r="R32" i="12"/>
  <c r="L21" i="6"/>
  <c r="L25" i="12" s="1"/>
  <c r="L26"/>
  <c r="W24" i="6"/>
  <c r="W30" i="12"/>
  <c r="M40" i="9"/>
  <c r="D40"/>
  <c r="W48" i="5"/>
  <c r="W56" s="1"/>
  <c r="V67" i="12"/>
  <c r="V68" s="1"/>
  <c r="V70"/>
  <c r="X70" s="1"/>
  <c r="D46" i="9"/>
  <c r="N46" s="1"/>
  <c r="N47"/>
  <c r="F35"/>
  <c r="P32"/>
  <c r="F36" i="2"/>
  <c r="W36"/>
  <c r="I71" i="3"/>
  <c r="K71" s="1"/>
  <c r="I68"/>
  <c r="N25" i="5"/>
  <c r="N30" i="12"/>
  <c r="X45"/>
  <c r="X35" i="6"/>
  <c r="L50" i="12"/>
  <c r="L35" i="6"/>
  <c r="L39"/>
  <c r="L51" i="12" s="1"/>
  <c r="L52"/>
  <c r="K51"/>
  <c r="AD51" s="1"/>
  <c r="AD39" i="6"/>
  <c r="R35"/>
  <c r="R45" i="12"/>
  <c r="M30"/>
  <c r="G51"/>
  <c r="G43" i="3"/>
  <c r="G42" i="12" s="1"/>
  <c r="N49" i="2"/>
  <c r="N60" s="1"/>
  <c r="AD9" i="5"/>
  <c r="C32" i="9"/>
  <c r="N35" i="5"/>
  <c r="N42" i="12" s="1"/>
  <c r="AD45"/>
  <c r="R47" i="9" l="1"/>
  <c r="H46"/>
  <c r="R46" s="1"/>
  <c r="N18"/>
  <c r="D27"/>
  <c r="T9" i="5"/>
  <c r="S8"/>
  <c r="S48" s="1"/>
  <c r="S56" s="1"/>
  <c r="S10" i="12"/>
  <c r="T42"/>
  <c r="M9" i="5"/>
  <c r="M11" i="12"/>
  <c r="R27" i="9"/>
  <c r="H26"/>
  <c r="R26" s="1"/>
  <c r="L34" i="6"/>
  <c r="L43" i="12"/>
  <c r="X34" i="6"/>
  <c r="X43" i="12"/>
  <c r="N40" i="9"/>
  <c r="D43"/>
  <c r="N43" s="1"/>
  <c r="P9" i="2"/>
  <c r="O9" s="1"/>
  <c r="O10"/>
  <c r="O9" i="4"/>
  <c r="Q9"/>
  <c r="C15" i="7"/>
  <c r="D17"/>
  <c r="AB48" i="5"/>
  <c r="AB56" s="1"/>
  <c r="AD56" s="1"/>
  <c r="AB9" i="12"/>
  <c r="AB59" s="1"/>
  <c r="AB67" s="1"/>
  <c r="AD8" i="5"/>
  <c r="I22" i="1"/>
  <c r="J21"/>
  <c r="E56" i="5"/>
  <c r="F40" i="10"/>
  <c r="F58" s="1"/>
  <c r="E58"/>
  <c r="J10" i="2"/>
  <c r="K9"/>
  <c r="J9" s="1"/>
  <c r="F10"/>
  <c r="F9" s="1"/>
  <c r="J8" i="4"/>
  <c r="F8"/>
  <c r="G8" s="1"/>
  <c r="G8" i="2" s="1"/>
  <c r="L8" i="4"/>
  <c r="L8" i="2" s="1"/>
  <c r="K51" i="4"/>
  <c r="K8" i="2"/>
  <c r="J9" i="4"/>
  <c r="L9"/>
  <c r="AD24" i="6"/>
  <c r="K29" i="12"/>
  <c r="N36" i="9"/>
  <c r="D52"/>
  <c r="N52" s="1"/>
  <c r="T8" i="2"/>
  <c r="W8"/>
  <c r="R42" i="9"/>
  <c r="H41"/>
  <c r="E51" i="11"/>
  <c r="F35"/>
  <c r="F51" s="1"/>
  <c r="E43"/>
  <c r="F43" s="1"/>
  <c r="F44" s="1"/>
  <c r="K43"/>
  <c r="K44" s="1"/>
  <c r="I44" s="1"/>
  <c r="I43"/>
  <c r="F8" i="3"/>
  <c r="F9" i="12" s="1"/>
  <c r="E9"/>
  <c r="G10"/>
  <c r="L11"/>
  <c r="AD11"/>
  <c r="L9" i="6"/>
  <c r="X24"/>
  <c r="X8" s="1"/>
  <c r="X30" i="12"/>
  <c r="M49" i="10"/>
  <c r="N57" i="2"/>
  <c r="H35" i="9"/>
  <c r="R32"/>
  <c r="J27" i="1"/>
  <c r="J28" s="1"/>
  <c r="J26"/>
  <c r="F41" i="9"/>
  <c r="P41" s="1"/>
  <c r="P42"/>
  <c r="N39"/>
  <c r="D42"/>
  <c r="AD30" i="12"/>
  <c r="AD43"/>
  <c r="D32" i="9"/>
  <c r="M32"/>
  <c r="R34" i="6"/>
  <c r="R43" i="12"/>
  <c r="P35" i="9"/>
  <c r="F34"/>
  <c r="P34" s="1"/>
  <c r="F51"/>
  <c r="W8" i="6"/>
  <c r="W9" i="12" s="1"/>
  <c r="W29"/>
  <c r="X29" s="1"/>
  <c r="R24" i="6"/>
  <c r="R8" s="1"/>
  <c r="R30" i="12"/>
  <c r="Q29"/>
  <c r="R29" s="1"/>
  <c r="Q8" i="6"/>
  <c r="Q9" i="12" s="1"/>
  <c r="D48" i="10"/>
  <c r="D58"/>
  <c r="E49" i="2"/>
  <c r="E60" s="1"/>
  <c r="D57"/>
  <c r="O8" i="4"/>
  <c r="Q8"/>
  <c r="Q8" i="2" s="1"/>
  <c r="P51" i="4"/>
  <c r="P8" i="2"/>
  <c r="O8" s="1"/>
  <c r="H15" i="7"/>
  <c r="H25" s="1"/>
  <c r="E21" i="1"/>
  <c r="F19"/>
  <c r="N48" i="10"/>
  <c r="P48"/>
  <c r="P49" s="1"/>
  <c r="N49" s="1"/>
  <c r="E48"/>
  <c r="F48" s="1"/>
  <c r="F49" s="1"/>
  <c r="G10" i="4"/>
  <c r="G10" i="2" s="1"/>
  <c r="G9" s="1"/>
  <c r="F9" i="4"/>
  <c r="G9" s="1"/>
  <c r="L30" i="12"/>
  <c r="L24" i="6"/>
  <c r="L8" s="1"/>
  <c r="Q47"/>
  <c r="Q55" s="1"/>
  <c r="Q42" i="12"/>
  <c r="AD34" i="6"/>
  <c r="K42" i="12"/>
  <c r="W47" i="6"/>
  <c r="W55" s="1"/>
  <c r="W42" i="12"/>
  <c r="U62" i="4"/>
  <c r="T62" s="1"/>
  <c r="U59"/>
  <c r="V51"/>
  <c r="T51"/>
  <c r="I20" i="7"/>
  <c r="U49" i="2"/>
  <c r="E60" i="3"/>
  <c r="AD60"/>
  <c r="K68"/>
  <c r="L60"/>
  <c r="AD9" i="6"/>
  <c r="K10" i="12"/>
  <c r="F59" i="3"/>
  <c r="E58" i="12"/>
  <c r="N8" i="5"/>
  <c r="N48" s="1"/>
  <c r="N56" s="1"/>
  <c r="N10" i="12"/>
  <c r="F25" i="1"/>
  <c r="C25"/>
  <c r="C22" s="1"/>
  <c r="AD48" i="5"/>
  <c r="AD8" i="3"/>
  <c r="K8" i="6"/>
  <c r="K47" s="1"/>
  <c r="F52" i="9"/>
  <c r="P52" s="1"/>
  <c r="T8" i="5" l="1"/>
  <c r="T48" s="1"/>
  <c r="T56" s="1"/>
  <c r="T10" i="12"/>
  <c r="M10"/>
  <c r="M8" i="5"/>
  <c r="M48" s="1"/>
  <c r="M56" s="1"/>
  <c r="N27" i="9"/>
  <c r="D26"/>
  <c r="N26" s="1"/>
  <c r="AD47" i="6"/>
  <c r="K55"/>
  <c r="L10" i="12"/>
  <c r="AD10"/>
  <c r="W49" i="2"/>
  <c r="U60"/>
  <c r="T49"/>
  <c r="T59" i="4"/>
  <c r="V59"/>
  <c r="U57" i="2"/>
  <c r="D25" i="1"/>
  <c r="D23" s="1"/>
  <c r="F23"/>
  <c r="F26" s="1"/>
  <c r="E68" i="3"/>
  <c r="AD68"/>
  <c r="L68"/>
  <c r="L69" s="1"/>
  <c r="F60"/>
  <c r="E71"/>
  <c r="E59" i="12"/>
  <c r="J20" i="7"/>
  <c r="J29" s="1"/>
  <c r="I14"/>
  <c r="V62" i="4"/>
  <c r="V49" i="2"/>
  <c r="V60" s="1"/>
  <c r="E22" i="1"/>
  <c r="F21"/>
  <c r="O51" i="4"/>
  <c r="Q51"/>
  <c r="P62"/>
  <c r="O62" s="1"/>
  <c r="G20" i="7"/>
  <c r="P59" i="4"/>
  <c r="P49" i="2"/>
  <c r="R9" i="12"/>
  <c r="Q59"/>
  <c r="Q67" s="1"/>
  <c r="P51" i="9"/>
  <c r="F50"/>
  <c r="P50" s="1"/>
  <c r="R47" i="6"/>
  <c r="R55" s="1"/>
  <c r="R56" s="1"/>
  <c r="R42" i="12"/>
  <c r="D35" i="9"/>
  <c r="N32"/>
  <c r="H51"/>
  <c r="R35"/>
  <c r="H34"/>
  <c r="R34" s="1"/>
  <c r="J41"/>
  <c r="T41" s="1"/>
  <c r="R41"/>
  <c r="AD29" i="12"/>
  <c r="L29"/>
  <c r="F8" i="2"/>
  <c r="J8"/>
  <c r="D15" i="7"/>
  <c r="D25" s="1"/>
  <c r="X47" i="6"/>
  <c r="X55" s="1"/>
  <c r="X56" s="1"/>
  <c r="X42" i="12"/>
  <c r="L47" i="6"/>
  <c r="L55" s="1"/>
  <c r="L56" s="1"/>
  <c r="L42" i="12"/>
  <c r="AD8" i="6"/>
  <c r="K9" i="12"/>
  <c r="AD58"/>
  <c r="F58"/>
  <c r="H47" i="7"/>
  <c r="D49" i="10"/>
  <c r="E57" i="2"/>
  <c r="E58" s="1"/>
  <c r="W59" i="12"/>
  <c r="W67" s="1"/>
  <c r="X9"/>
  <c r="X59" s="1"/>
  <c r="X67" s="1"/>
  <c r="X68" s="1"/>
  <c r="D41" i="9"/>
  <c r="N41" s="1"/>
  <c r="N42"/>
  <c r="N58" i="2"/>
  <c r="W58"/>
  <c r="K62" i="4"/>
  <c r="K59"/>
  <c r="J51"/>
  <c r="F51"/>
  <c r="L51"/>
  <c r="K49" i="2"/>
  <c r="AD42" i="12"/>
  <c r="L62" i="4" l="1"/>
  <c r="L49" i="2"/>
  <c r="L60" s="1"/>
  <c r="D47" i="7"/>
  <c r="Y56" i="2"/>
  <c r="Z56" s="1"/>
  <c r="P60"/>
  <c r="O49"/>
  <c r="H20" i="7"/>
  <c r="H29" s="1"/>
  <c r="C20"/>
  <c r="G14"/>
  <c r="Q62" i="4"/>
  <c r="Q49" i="2"/>
  <c r="Q60" s="1"/>
  <c r="I22" i="7"/>
  <c r="J22" s="1"/>
  <c r="J26" s="1"/>
  <c r="I23"/>
  <c r="J23" s="1"/>
  <c r="J30" s="1"/>
  <c r="J52" s="1"/>
  <c r="F68" i="3"/>
  <c r="F69" s="1"/>
  <c r="F71"/>
  <c r="F59" i="12"/>
  <c r="F67" s="1"/>
  <c r="F68" s="1"/>
  <c r="T57" i="2"/>
  <c r="W57"/>
  <c r="Y57"/>
  <c r="Z57" s="1"/>
  <c r="F49"/>
  <c r="F60" s="1"/>
  <c r="J49"/>
  <c r="K60"/>
  <c r="F62" i="4"/>
  <c r="G51"/>
  <c r="J59"/>
  <c r="F59"/>
  <c r="G59" s="1"/>
  <c r="L59"/>
  <c r="K57" i="2"/>
  <c r="AD9" i="12"/>
  <c r="K59"/>
  <c r="L9"/>
  <c r="L59" s="1"/>
  <c r="L67" s="1"/>
  <c r="L68" s="1"/>
  <c r="H50" i="9"/>
  <c r="R50" s="1"/>
  <c r="R51"/>
  <c r="N35"/>
  <c r="D34"/>
  <c r="N34" s="1"/>
  <c r="D51"/>
  <c r="Q59" i="4"/>
  <c r="O59"/>
  <c r="P57" i="2"/>
  <c r="O57" s="1"/>
  <c r="J51" i="7"/>
  <c r="J50" s="1"/>
  <c r="J28"/>
  <c r="W59" i="4"/>
  <c r="V60"/>
  <c r="T60" s="1"/>
  <c r="V57" i="2"/>
  <c r="V58" s="1"/>
  <c r="E55" i="6"/>
  <c r="AD55" s="1"/>
  <c r="R59" i="12"/>
  <c r="R67" s="1"/>
  <c r="R68" s="1"/>
  <c r="E67"/>
  <c r="Q60" i="4" l="1"/>
  <c r="O60" s="1"/>
  <c r="Q57" i="2"/>
  <c r="Q58" s="1"/>
  <c r="L60" i="4"/>
  <c r="J60" s="1"/>
  <c r="L57" i="2"/>
  <c r="L58" s="1"/>
  <c r="J48" i="7"/>
  <c r="J46" s="1"/>
  <c r="J24"/>
  <c r="D20"/>
  <c r="D29" s="1"/>
  <c r="C14"/>
  <c r="D50" i="9"/>
  <c r="N50" s="1"/>
  <c r="N51"/>
  <c r="AD59" i="12"/>
  <c r="K67"/>
  <c r="AD67" s="1"/>
  <c r="F57" i="2"/>
  <c r="J57"/>
  <c r="G60" i="4"/>
  <c r="G57" i="2"/>
  <c r="G58" s="1"/>
  <c r="G62" i="4"/>
  <c r="G49" i="2"/>
  <c r="G60" s="1"/>
  <c r="G23" i="7"/>
  <c r="G22"/>
  <c r="H51"/>
  <c r="H22" l="1"/>
  <c r="H26" s="1"/>
  <c r="C22"/>
  <c r="D22" s="1"/>
  <c r="D26" s="1"/>
  <c r="H23"/>
  <c r="H30" s="1"/>
  <c r="C23"/>
  <c r="D23" s="1"/>
  <c r="D30" s="1"/>
  <c r="D52" s="1"/>
  <c r="D51"/>
  <c r="D50" l="1"/>
  <c r="D48"/>
  <c r="D46" s="1"/>
  <c r="D24"/>
  <c r="H52"/>
  <c r="H50" s="1"/>
  <c r="H28"/>
  <c r="H48"/>
  <c r="H46" s="1"/>
  <c r="H24"/>
  <c r="D28"/>
  <c r="F12" i="5"/>
  <c r="S12"/>
  <c r="H12"/>
  <c r="M12"/>
  <c r="T12"/>
  <c r="Z12"/>
  <c r="Y12"/>
  <c r="N12"/>
  <c r="G12"/>
  <c r="L12"/>
  <c r="AD12"/>
  <c r="M29" i="12"/>
  <c r="D41"/>
  <c r="S59"/>
  <c r="W12" i="5"/>
  <c r="X12"/>
  <c r="Z29" i="12"/>
  <c r="D59"/>
  <c r="S29"/>
  <c r="H29"/>
  <c r="N67"/>
  <c r="H59"/>
  <c r="D9"/>
  <c r="D60" i="3"/>
  <c r="D68"/>
  <c r="D67" i="12"/>
  <c r="G29"/>
  <c r="G41"/>
  <c r="S67"/>
  <c r="Z41"/>
  <c r="S9"/>
  <c r="Z59"/>
  <c r="C41"/>
  <c r="H67"/>
  <c r="M59"/>
  <c r="T67"/>
  <c r="Z9"/>
  <c r="N29"/>
  <c r="N9"/>
  <c r="N59"/>
  <c r="G59"/>
  <c r="M41"/>
  <c r="M9"/>
  <c r="Y41"/>
  <c r="G67"/>
  <c r="H41"/>
  <c r="H9"/>
  <c r="AB12" i="5"/>
  <c r="AC12"/>
  <c r="T41" i="12"/>
  <c r="S41"/>
  <c r="Z67"/>
  <c r="M67"/>
  <c r="N41"/>
  <c r="T29"/>
  <c r="S42" i="3"/>
  <c r="S30"/>
  <c r="S8"/>
  <c r="S60"/>
  <c r="S68"/>
  <c r="Y29" i="12"/>
  <c r="K12" i="5"/>
  <c r="E12"/>
  <c r="Q12"/>
  <c r="R12"/>
  <c r="Y67" i="12"/>
  <c r="D29"/>
  <c r="D30" i="3"/>
  <c r="D8"/>
  <c r="Y60"/>
  <c r="Y68"/>
  <c r="T60"/>
  <c r="T68"/>
  <c r="Z42"/>
  <c r="Z30"/>
  <c r="Z8"/>
  <c r="Z60"/>
  <c r="Z68"/>
  <c r="N42"/>
  <c r="N30"/>
  <c r="N8"/>
  <c r="N60"/>
  <c r="N68"/>
  <c r="G9" i="12"/>
  <c r="M42" i="3"/>
  <c r="M30"/>
  <c r="M8"/>
  <c r="M60"/>
  <c r="M68"/>
  <c r="Y42"/>
  <c r="Y30"/>
  <c r="Y8"/>
  <c r="Y9" i="12"/>
  <c r="Y59"/>
  <c r="H42" i="3"/>
  <c r="H30"/>
  <c r="H8"/>
  <c r="H60"/>
  <c r="H68"/>
  <c r="D42"/>
  <c r="T42"/>
  <c r="T30"/>
  <c r="T8"/>
  <c r="T9" i="12"/>
  <c r="T59"/>
  <c r="C42" i="3"/>
  <c r="G42"/>
  <c r="G30"/>
  <c r="G8"/>
  <c r="G60"/>
  <c r="G68"/>
</calcChain>
</file>

<file path=xl/comments1.xml><?xml version="1.0" encoding="utf-8"?>
<comments xmlns="http://schemas.openxmlformats.org/spreadsheetml/2006/main">
  <authors>
    <author>User</author>
  </authors>
  <commentList>
    <comment ref="E14" authorId="0">
      <text>
        <r>
          <rPr>
            <b/>
            <sz val="10"/>
            <color indexed="81"/>
            <rFont val="Tahoma"/>
            <family val="2"/>
            <charset val="204"/>
          </rPr>
          <t>User:</t>
        </r>
        <r>
          <rPr>
            <sz val="10"/>
            <color indexed="81"/>
            <rFont val="Tahoma"/>
            <family val="2"/>
            <charset val="204"/>
          </rPr>
          <t xml:space="preserve">
1) в структуре утв тарифа всего на опл праці и отчисл 5,35 грн/Гкал
  находим всего расходы = 5,35 * всего 204686,736 Гкал = 1095074,04 грн.,
 в т.ч.: на опл праці = 1 095 074,04 грн. : 1,22 = 897 601,67 грн.
             на отчислен =    897 601,67 грн * 0,22 = 197 472,37 грн.
        </t>
        </r>
      </text>
    </comment>
  </commentList>
</comments>
</file>

<file path=xl/sharedStrings.xml><?xml version="1.0" encoding="utf-8"?>
<sst xmlns="http://schemas.openxmlformats.org/spreadsheetml/2006/main" count="1675" uniqueCount="456">
  <si>
    <t xml:space="preserve">Виробництво теплової енергії </t>
  </si>
  <si>
    <t xml:space="preserve">Транспортування теплової енергії </t>
  </si>
  <si>
    <t xml:space="preserve">Постачання теплової енергії </t>
  </si>
  <si>
    <t xml:space="preserve">без ПДВ </t>
  </si>
  <si>
    <t xml:space="preserve">Найменування показників </t>
  </si>
  <si>
    <t>3.1.1</t>
  </si>
  <si>
    <t xml:space="preserve">витрати на технологічне паливо для виробництва теплової енергії котельнями </t>
  </si>
  <si>
    <t>3.1.2</t>
  </si>
  <si>
    <t xml:space="preserve">витрати на технологічну електроенергію для виробництва теплової енергії котельнями </t>
  </si>
  <si>
    <t>3.1.3</t>
  </si>
  <si>
    <t xml:space="preserve">в умовно-змінній частині </t>
  </si>
  <si>
    <t xml:space="preserve">в умовно-постійній частині </t>
  </si>
  <si>
    <t>5.3</t>
  </si>
  <si>
    <t xml:space="preserve">рівень рентабельності </t>
  </si>
  <si>
    <t>6.3</t>
  </si>
  <si>
    <t xml:space="preserve">Теплове навантаження об'єктів теплоспоживання власних споживачів та споживачів інших власників теплової енергії, яка транспортується мережами ліцензіата </t>
  </si>
  <si>
    <t xml:space="preserve">Повна планова собівартість постачання теплової енергії, усього - умовно-постійні витрати </t>
  </si>
  <si>
    <t>13.1</t>
  </si>
  <si>
    <t>13.2</t>
  </si>
  <si>
    <t>13.3</t>
  </si>
  <si>
    <t xml:space="preserve">Двоставкові тарифи на теплову енергію для кінцевих споживачів </t>
  </si>
  <si>
    <t>14.1</t>
  </si>
  <si>
    <t>14.2</t>
  </si>
  <si>
    <t>14.3</t>
  </si>
  <si>
    <t>Без ПДВ</t>
  </si>
  <si>
    <t>прямі матеріальні витрати</t>
  </si>
  <si>
    <t xml:space="preserve">Без ПДВ </t>
  </si>
  <si>
    <t xml:space="preserve">N з/п </t>
  </si>
  <si>
    <t xml:space="preserve">Одиниця виміру </t>
  </si>
  <si>
    <t xml:space="preserve">Виробнича собівартість, у т. ч.: </t>
  </si>
  <si>
    <t xml:space="preserve">тис. грн </t>
  </si>
  <si>
    <t>1.1</t>
  </si>
  <si>
    <t xml:space="preserve">прямі матеріальні витрати, у т. ч.: </t>
  </si>
  <si>
    <t>1.1.1</t>
  </si>
  <si>
    <t>1.1.2</t>
  </si>
  <si>
    <t>1.1.3</t>
  </si>
  <si>
    <t>1.1.4</t>
  </si>
  <si>
    <t xml:space="preserve">вода для технологічних потреб та водовідведення </t>
  </si>
  <si>
    <t>1.1.5</t>
  </si>
  <si>
    <t xml:space="preserve">матеріали, запасні частини та інші матеріальні ресурси </t>
  </si>
  <si>
    <t>1.2</t>
  </si>
  <si>
    <t xml:space="preserve">прямі витрати на оплату праці </t>
  </si>
  <si>
    <t>1.3</t>
  </si>
  <si>
    <t xml:space="preserve">інші прямі витрати, у т. ч.: </t>
  </si>
  <si>
    <t>1.3.1</t>
  </si>
  <si>
    <t xml:space="preserve">відрахування на соціальні заходи </t>
  </si>
  <si>
    <t>1.3.2</t>
  </si>
  <si>
    <t xml:space="preserve">амортизаційні відрахування </t>
  </si>
  <si>
    <t>1.3.3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</si>
  <si>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</si>
  <si>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</si>
  <si>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</si>
  <si>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</si>
  <si>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 xml:space="preserve">витрати на оплату праці </t>
  </si>
  <si>
    <t>1.4.2</t>
  </si>
  <si>
    <t>1.4.3</t>
  </si>
  <si>
    <t xml:space="preserve">інші витрати </t>
  </si>
  <si>
    <t>2</t>
  </si>
  <si>
    <t xml:space="preserve">Адміністративні витрати, у т. ч.: </t>
  </si>
  <si>
    <t>2.1</t>
  </si>
  <si>
    <t>2.2</t>
  </si>
  <si>
    <t>2.3</t>
  </si>
  <si>
    <t>3.1</t>
  </si>
  <si>
    <t>3.2</t>
  </si>
  <si>
    <t>3.3</t>
  </si>
  <si>
    <t xml:space="preserve">Фінансові витрати </t>
  </si>
  <si>
    <t>7.1</t>
  </si>
  <si>
    <t xml:space="preserve">податок на прибуток </t>
  </si>
  <si>
    <t>7.2</t>
  </si>
  <si>
    <t xml:space="preserve">дивіденди </t>
  </si>
  <si>
    <t>7.3</t>
  </si>
  <si>
    <t>7.4</t>
  </si>
  <si>
    <t xml:space="preserve">на розвиток виробництва (виробничі інвестиції) </t>
  </si>
  <si>
    <t xml:space="preserve">інше використання прибутку </t>
  </si>
  <si>
    <t xml:space="preserve">Вартість виробництва теплової енергії за відповідними тарифами </t>
  </si>
  <si>
    <t xml:space="preserve">населення </t>
  </si>
  <si>
    <t xml:space="preserve">Гкал </t>
  </si>
  <si>
    <t>грн/Гкал</t>
  </si>
  <si>
    <t xml:space="preserve"> </t>
  </si>
  <si>
    <t xml:space="preserve">транспортування теплової енергії тепловими мережами інших підприємств </t>
  </si>
  <si>
    <t xml:space="preserve">Вартість транспортування теплової енергії за відповідними тарифами </t>
  </si>
  <si>
    <t>10.1</t>
  </si>
  <si>
    <t>10.2</t>
  </si>
  <si>
    <t>12.1</t>
  </si>
  <si>
    <t>12.2</t>
  </si>
  <si>
    <t>12.3</t>
  </si>
  <si>
    <t>12.3.1</t>
  </si>
  <si>
    <t xml:space="preserve">бюджетних установ </t>
  </si>
  <si>
    <t xml:space="preserve">інших споживачів </t>
  </si>
  <si>
    <t xml:space="preserve">Обсяг транспортування теплової енергії ліцензіата мережами іншого(их) транспортувальника(ів) </t>
  </si>
  <si>
    <t xml:space="preserve">Тариф(и) іншого(их) транспортувальника(ів) на транспортування теплової енергії </t>
  </si>
  <si>
    <t xml:space="preserve">Вартість постачання теплової енергії за відповідними тарифами </t>
  </si>
  <si>
    <t>4.1</t>
  </si>
  <si>
    <t>4.2</t>
  </si>
  <si>
    <t>5.1</t>
  </si>
  <si>
    <t>5.2</t>
  </si>
  <si>
    <t>6.1</t>
  </si>
  <si>
    <t>6.2</t>
  </si>
  <si>
    <t>Член Комісії</t>
  </si>
  <si>
    <t>В.Кальченко</t>
  </si>
  <si>
    <t>Повна собівартість</t>
  </si>
  <si>
    <t xml:space="preserve">Повна собівартість </t>
  </si>
  <si>
    <t xml:space="preserve">Інші операційні витрати </t>
  </si>
  <si>
    <t>Інші операційні витрати</t>
  </si>
  <si>
    <t>12.2.2</t>
  </si>
  <si>
    <t>12.2.3</t>
  </si>
  <si>
    <t>9</t>
  </si>
  <si>
    <t>9.1</t>
  </si>
  <si>
    <t>9.2</t>
  </si>
  <si>
    <t>9.3</t>
  </si>
  <si>
    <t xml:space="preserve">складова собівартості  </t>
  </si>
  <si>
    <t xml:space="preserve">складова прибутку </t>
  </si>
  <si>
    <t xml:space="preserve">складова собівартості </t>
  </si>
  <si>
    <t>складова прибутку</t>
  </si>
  <si>
    <t xml:space="preserve">складова прибутку  </t>
  </si>
  <si>
    <t>Тарифи на виробництво теплової енергії, грн/Гкал</t>
  </si>
  <si>
    <t xml:space="preserve">Тарифи на транспортування теплової енергії, грн/Гкал </t>
  </si>
  <si>
    <t xml:space="preserve">Тарифи на постачання теплової енергії, грн/Гкал </t>
  </si>
  <si>
    <t xml:space="preserve">Обсяг реалізації теплової енергії власним споживачам, Гкал </t>
  </si>
  <si>
    <t xml:space="preserve">Теплове навантаження об'єктів теплоспоживання власних споживачів, Гкал/год </t>
  </si>
  <si>
    <t xml:space="preserve">Умовно-змінна частина двоставкового тарифу на теплову енергію,  грн/Гкал, у т. ч.: </t>
  </si>
  <si>
    <t xml:space="preserve">Умовно-постійна частина двоставкового тарифу на теплову енергію ( місячна плата на одиницю теплового навантаження), грн/Гкал/год, у т. ч.: </t>
  </si>
  <si>
    <t>бюджетних установ</t>
  </si>
  <si>
    <t>інших споживачів (крім населення)</t>
  </si>
  <si>
    <t>тис.грн на рік</t>
  </si>
  <si>
    <t xml:space="preserve">Сумарні та середньо зважені показники                  </t>
  </si>
  <si>
    <t>Для потреб населення</t>
  </si>
  <si>
    <t>Для бюджетних установ</t>
  </si>
  <si>
    <t xml:space="preserve">Для  інших споживачів </t>
  </si>
  <si>
    <t>Сумарні та середньо зважені показники</t>
  </si>
  <si>
    <t>Для  бюджетних установ</t>
  </si>
  <si>
    <t>Для інших споживачів</t>
  </si>
  <si>
    <t>Обсяг реалізації теплової енергії власним споживачам, Гкал</t>
  </si>
  <si>
    <t>Тарифи на теплову енергію, грн/Гкал</t>
  </si>
  <si>
    <t>від_________№______________</t>
  </si>
  <si>
    <t>1.1.6</t>
  </si>
  <si>
    <t xml:space="preserve">Плановий прибуток у тарифах на постачання теплової енергії </t>
  </si>
  <si>
    <t xml:space="preserve">Плановий прибуток у тарифах на транспортування теплової енергії </t>
  </si>
  <si>
    <t>Додаток  5</t>
  </si>
  <si>
    <t>грн/Гкал, грн/Гкал/год</t>
  </si>
  <si>
    <t xml:space="preserve">Розрахунковий прибуток, у т. ч.: </t>
  </si>
  <si>
    <t xml:space="preserve">Адміністративні витрати, у т.ч.: </t>
  </si>
  <si>
    <t xml:space="preserve">Розрахунковий прибуток,  у т.ч.: </t>
  </si>
  <si>
    <t xml:space="preserve">Корисний відпуск теплової енергії з мереж ліцензіата, Гкал,  у т. ч.: </t>
  </si>
  <si>
    <t>теплової енергії інших власників</t>
  </si>
  <si>
    <t>теплової енергії власним споживачам</t>
  </si>
  <si>
    <t xml:space="preserve">інші прямі витрати, у т.ч.: </t>
  </si>
  <si>
    <t xml:space="preserve">Розрахунковий прибуток, у т.ч.: </t>
  </si>
  <si>
    <t xml:space="preserve">загальновиробничі витрати, у т.ч.: </t>
  </si>
  <si>
    <t xml:space="preserve">прямі матеріальні витрати, у т.ч.: </t>
  </si>
  <si>
    <t xml:space="preserve">Повна планова собівартість виробництва теплової енергії, у т. ч.: </t>
  </si>
  <si>
    <t xml:space="preserve">Плановий прибуток у тарифах на виробництво теплової енергії, у т. ч.: </t>
  </si>
  <si>
    <t xml:space="preserve">Місячна плата за постачання теплової енергії на одиницю теплового навантаження, грн/Гкал/год: </t>
  </si>
  <si>
    <t xml:space="preserve">Умовно-змінна частина двоставкового тарифу на виробництво теплової енергії, грн/Гкал, у т. ч.: </t>
  </si>
  <si>
    <t xml:space="preserve">Місячна плата за транспортування теплової енергії на одиницю теплового навантаження, грн/Гкал/год, у т.ч.: </t>
  </si>
  <si>
    <t>покупна теплова енергія та собівартість виробництва власних ТЕЦ, ТЕС, АЕС, когенераційних установок</t>
  </si>
  <si>
    <t>Директор Департаменту тарифної політики у сфері теплопостачання</t>
  </si>
  <si>
    <t xml:space="preserve">Для потреб інших споживачів </t>
  </si>
  <si>
    <t>М. Расковський</t>
  </si>
  <si>
    <t xml:space="preserve">до постанови </t>
  </si>
  <si>
    <t>Для  потреб бюджетних установ</t>
  </si>
  <si>
    <t>Для потреб  бюджетних установ</t>
  </si>
  <si>
    <t>Для потреб інших споживачів</t>
  </si>
  <si>
    <t>Для потреб 
населення</t>
  </si>
  <si>
    <t xml:space="preserve">умовно- змінні витрати, у т. ч.: </t>
  </si>
  <si>
    <t xml:space="preserve">умовно- постійні витрати, усього - решта витрат собівартості виробництва теплової енергії </t>
  </si>
  <si>
    <r>
      <t>Умовно-постійна частина двоставкового тарифу на виробництво теплової енергії (</t>
    </r>
    <r>
      <rPr>
        <b/>
        <sz val="12"/>
        <rFont val="Times New Roman"/>
        <family val="1"/>
        <charset val="204"/>
      </rPr>
      <t>місячна плата</t>
    </r>
    <r>
      <rPr>
        <b/>
        <sz val="12.5"/>
        <rFont val="Times New Roman"/>
        <family val="1"/>
        <charset val="204"/>
      </rPr>
      <t xml:space="preserve"> на </t>
    </r>
    <r>
      <rPr>
        <b/>
        <sz val="12"/>
        <rFont val="Times New Roman"/>
        <family val="1"/>
        <charset val="204"/>
      </rPr>
      <t>одиницю теплового навантаження</t>
    </r>
    <r>
      <rPr>
        <b/>
        <sz val="12.5"/>
        <rFont val="Times New Roman"/>
        <family val="1"/>
        <charset val="204"/>
      </rPr>
      <t xml:space="preserve">), грн/Гкал/год: </t>
    </r>
  </si>
  <si>
    <t xml:space="preserve">Структура двоставкових тарифів на теплову енергію   </t>
  </si>
  <si>
    <t xml:space="preserve">Повна планова собівартість транспортування теплової енергії власним споживачам, - умовно-постійні витрати </t>
  </si>
  <si>
    <t>_________________№______</t>
  </si>
  <si>
    <t>тис. грн на рік</t>
  </si>
  <si>
    <t xml:space="preserve">№ з/п </t>
  </si>
  <si>
    <t xml:space="preserve">Сумарні та середньо-зважені показники                  </t>
  </si>
  <si>
    <t xml:space="preserve">                               Додаток 5</t>
  </si>
  <si>
    <t xml:space="preserve">                               до постанови</t>
  </si>
  <si>
    <t xml:space="preserve">Джерела фінансування Інвестиційної програми </t>
  </si>
  <si>
    <t>Джерела фінансування</t>
  </si>
  <si>
    <t>сума,  грн</t>
  </si>
  <si>
    <t>амортизаційні відрахування</t>
  </si>
  <si>
    <t>інвестиційна складова прибутку на розвиток виробництва (капітальні інвестиції на будівництво, реконструкцію, модернізацію об`ектів теплопостачання)</t>
  </si>
  <si>
    <t>інші джерела</t>
  </si>
  <si>
    <t xml:space="preserve">       </t>
  </si>
  <si>
    <t xml:space="preserve">Директор Департаменту регулювання відносин,
інвестиційної політики та технічного розвитку
у сфері теплопостачання                                                                       С. Кремена </t>
  </si>
  <si>
    <t xml:space="preserve">                               ___________№_________</t>
  </si>
  <si>
    <t>Усього без урахування ПДВ, у тому числі:</t>
  </si>
  <si>
    <t xml:space="preserve">витрати на паливо, у т. ч.: </t>
  </si>
  <si>
    <t>1.1.1.1</t>
  </si>
  <si>
    <t>1.1.1.2</t>
  </si>
  <si>
    <t>природний газ</t>
  </si>
  <si>
    <t>Скориговані показники</t>
  </si>
  <si>
    <t>раз</t>
  </si>
  <si>
    <t xml:space="preserve">Для потреб бюджетних установ </t>
  </si>
  <si>
    <t xml:space="preserve">Для потреб інших споживачів                  </t>
  </si>
  <si>
    <t xml:space="preserve">Сумарні та середньозважені показники           </t>
  </si>
  <si>
    <t>Коефі-цієнт зміни</t>
  </si>
  <si>
    <t>собівартість теплової енергії власних ТЕЦ, ТЕС, КГУ</t>
  </si>
  <si>
    <t>витрати на покупну теплову енергію</t>
  </si>
  <si>
    <t>1.1.3.1</t>
  </si>
  <si>
    <t>1.1.3.2</t>
  </si>
  <si>
    <t>витрати на покупну теплову енергію у т. ч.:</t>
  </si>
  <si>
    <t>1.1.4.1</t>
  </si>
  <si>
    <t>1.1.4.2</t>
  </si>
  <si>
    <t>Витрати на збут</t>
  </si>
  <si>
    <t>інше використання прибутку (прибуток у тарифах НКРЕ)</t>
  </si>
  <si>
    <t>Рівень рентабельності, %</t>
  </si>
  <si>
    <t xml:space="preserve">витрати на паливо </t>
  </si>
  <si>
    <t>Структура двоставкових тарифів на теплову енергію</t>
  </si>
  <si>
    <t xml:space="preserve">умовно-змінні витрати, у т. ч.: </t>
  </si>
  <si>
    <t xml:space="preserve">умовно-постійні витрати, усього - решта витрат собівартості виробництва теплової енергії </t>
  </si>
  <si>
    <t xml:space="preserve">Повна планова собівартість транспортування теплової енергії, умовно-постійні витрати </t>
  </si>
  <si>
    <t>Сумарні та середньозважені показники</t>
  </si>
  <si>
    <t xml:space="preserve">резервний фонд (капітал) та дивіденди </t>
  </si>
  <si>
    <t>витрати на електроенергію</t>
  </si>
  <si>
    <t>1.1.7</t>
  </si>
  <si>
    <t xml:space="preserve">Для потреб населення                       </t>
  </si>
  <si>
    <t xml:space="preserve">Для потреб населення                      </t>
  </si>
  <si>
    <t xml:space="preserve"> собівартість виробництва власних ТЕЦ, ТЕС, АЕС, когенераційних установок</t>
  </si>
  <si>
    <t>3.1.4</t>
  </si>
  <si>
    <t xml:space="preserve">покупна теплова енергія </t>
  </si>
  <si>
    <t>Заступник директора Департаменту тарифної політики у сфері теплопостачання</t>
  </si>
  <si>
    <t xml:space="preserve">Заступник директора Департаменту тарифної політики
у сфері теплопостачання                                                                Є.Магльованний </t>
  </si>
  <si>
    <t xml:space="preserve"> Є.Магльованний</t>
  </si>
  <si>
    <t>Найменування показників</t>
  </si>
  <si>
    <t>Для потреб бюджетних організацій</t>
  </si>
  <si>
    <t>Врахована за заявою</t>
  </si>
  <si>
    <t>Ціна природного газу, грн/1000м3</t>
  </si>
  <si>
    <t>Собівартість виробництва 1Гкал власних ТЕЦ</t>
  </si>
  <si>
    <t>_________________________________________</t>
  </si>
  <si>
    <t>_________________________________</t>
  </si>
  <si>
    <t>(Посада виконавця)</t>
  </si>
  <si>
    <t>(П.І.П.)</t>
  </si>
  <si>
    <t>(Підпис)</t>
  </si>
  <si>
    <t xml:space="preserve">Вартість теплової енергії за відповідними тарифами </t>
  </si>
  <si>
    <t>б</t>
  </si>
  <si>
    <t>і</t>
  </si>
  <si>
    <t>Для потреб бюджетних  установ</t>
  </si>
  <si>
    <t>1.1.1.2.1</t>
  </si>
  <si>
    <t>1.1.1.2.2</t>
  </si>
  <si>
    <t>1.1.1.2.3</t>
  </si>
  <si>
    <t>1.1.1.2.4</t>
  </si>
  <si>
    <t>мазут</t>
  </si>
  <si>
    <t>вугілля</t>
  </si>
  <si>
    <t>інше паливо</t>
  </si>
  <si>
    <t>електроенергія</t>
  </si>
  <si>
    <t>витрати на електроенергію, у т. ч.:</t>
  </si>
  <si>
    <t>1.1.2.1</t>
  </si>
  <si>
    <t>1.1.2.2</t>
  </si>
  <si>
    <t xml:space="preserve">Вартість 1 Гкал покупної теплової енергії від </t>
  </si>
  <si>
    <t xml:space="preserve"> Середньомісячна заробітна плата на 1 чол, грн</t>
  </si>
  <si>
    <t>Гкал</t>
  </si>
  <si>
    <t>1клас</t>
  </si>
  <si>
    <t>2клас</t>
  </si>
  <si>
    <t>реактивна</t>
  </si>
  <si>
    <t>2+реакт</t>
  </si>
  <si>
    <t>проверка</t>
  </si>
  <si>
    <t>КП «Павлоградтеплоенерго»</t>
  </si>
  <si>
    <t>За заявою ліцензіата від 30.12.2013 
№ 15346/0/1-13-06</t>
  </si>
  <si>
    <t>Затверджені постановою від 31.03.2014 № 214</t>
  </si>
  <si>
    <t>Базові показники</t>
  </si>
  <si>
    <t>інші види палива</t>
  </si>
  <si>
    <t>електроенергія  1 класу напруги</t>
  </si>
  <si>
    <t>електроенергія  2 класу напруги</t>
  </si>
  <si>
    <t>Тариф на електроенергію 1 класу коп/кВт/год</t>
  </si>
  <si>
    <t>Тариф на електроенергію 2 класу коп/кВт/год</t>
  </si>
  <si>
    <t>Середньомісячна заробітна плата на 1 особу, грн</t>
  </si>
  <si>
    <t xml:space="preserve"> Середньомісячна заробітна плата на 1 особу, грн</t>
  </si>
  <si>
    <t>____________________________________________________________</t>
  </si>
  <si>
    <t>___________________________________________</t>
  </si>
  <si>
    <t>________________________________________________</t>
  </si>
  <si>
    <t>________________________________________________________________</t>
  </si>
  <si>
    <t>_________________________________________________________</t>
  </si>
  <si>
    <t>Всього прямі витрати</t>
  </si>
  <si>
    <t>Діючі тарифи на теплову енергію у грудні 2013 р.</t>
  </si>
  <si>
    <r>
      <t xml:space="preserve">Розрахунок тарифів на </t>
    </r>
    <r>
      <rPr>
        <b/>
        <u/>
        <sz val="26"/>
        <rFont val="Times New Roman"/>
        <family val="1"/>
        <charset val="204"/>
      </rPr>
      <t>виробництво</t>
    </r>
    <r>
      <rPr>
        <b/>
        <sz val="15"/>
        <rFont val="Times New Roman"/>
        <family val="1"/>
        <charset val="204"/>
      </rPr>
      <t xml:space="preserve"> теплової енергії шляхом коригування встановлених постановою Комісії від 31.03.2014 № 214 тарифів ліцензіата КП "Павлоградтеплоенерго" відповідно до пункту 8 Порядку формування тарифів на теплову енергію, її виробництво, транспортування, постачання, затвердженого постановою КМУ від 01.06.2011 № 869</t>
    </r>
  </si>
  <si>
    <r>
      <t xml:space="preserve">Розрахунок тарифів на </t>
    </r>
    <r>
      <rPr>
        <b/>
        <u/>
        <sz val="26"/>
        <rFont val="Times New Roman"/>
        <family val="1"/>
        <charset val="204"/>
      </rPr>
      <t xml:space="preserve">транспортування </t>
    </r>
    <r>
      <rPr>
        <b/>
        <sz val="15"/>
        <rFont val="Times New Roman"/>
        <family val="1"/>
        <charset val="204"/>
      </rPr>
      <t>теплової енергії шляхом коригування встановлених постановою Комісії від 31.03.2014 № 214 тарифів ліцензіата КП «Павлоградтеплоенерго» відповідно до пункту 8 Порядку формування тарифів на теплову енергію, її виробництво, транспортування, постачання, затвердженого постановою КМУ від 01.06.2011 № 869</t>
    </r>
  </si>
  <si>
    <r>
      <t xml:space="preserve">Розрахунок тарифів на </t>
    </r>
    <r>
      <rPr>
        <b/>
        <u/>
        <sz val="26"/>
        <rFont val="Times New Roman"/>
        <family val="1"/>
        <charset val="204"/>
      </rPr>
      <t>постачання</t>
    </r>
    <r>
      <rPr>
        <b/>
        <sz val="15"/>
        <rFont val="Times New Roman"/>
        <family val="1"/>
        <charset val="204"/>
      </rPr>
      <t xml:space="preserve"> теплової енергії шляхом коригування встановлених постановою Комісії від 31.03.2014 № 214 тарифів ліцензіата КП «Павлоградтеплоенерго» відповідно до пункту 8 Порядку формування тарифів на теплову енергію, її виробництво, транспортування, постачання, затвердженого постановою КМУ від 01.06.2011 № 869</t>
    </r>
  </si>
  <si>
    <t>Витрати на утримання абонентської служби, усього, у т.ч.:</t>
  </si>
  <si>
    <t>інші витрати абонентської служби (розшифрувати)</t>
  </si>
  <si>
    <t>Витрати на періодичну повірку квартирних засобів обліку (розшифрувати)</t>
  </si>
  <si>
    <t>Решта витрат, крім послуг банку (розшифрувати)</t>
  </si>
  <si>
    <t>Собівартість послуг, без урахування послуг банку</t>
  </si>
  <si>
    <t>Послуги банку</t>
  </si>
  <si>
    <t>Повна планова собівартість послуг з урахуванням послуг банку</t>
  </si>
  <si>
    <t>Вартість послуг</t>
  </si>
  <si>
    <t>вартість теплової енергії</t>
  </si>
  <si>
    <t>решта складових тарифу</t>
  </si>
  <si>
    <t>з будинковими та квартирними приладами обліку теплової енергії</t>
  </si>
  <si>
    <t>без будинкових та квартирних приладів обліку теплової енергії</t>
  </si>
  <si>
    <t>грн/кв.м на рік</t>
  </si>
  <si>
    <t>х</t>
  </si>
  <si>
    <t>Загальна опалювана площа квартир, тис. кв. м</t>
  </si>
  <si>
    <t>Обсяг теплової енергії, врахований у розрахунку собівартості  послуги, у т.ч. для послуги з централізованого опалення, Гкал</t>
  </si>
  <si>
    <t>13</t>
  </si>
  <si>
    <t>14</t>
  </si>
  <si>
    <r>
      <rPr>
        <b/>
        <i/>
        <u/>
        <sz val="13"/>
        <rFont val="Times New Roman"/>
        <family val="1"/>
        <charset val="204"/>
      </rPr>
      <t>Собівартість</t>
    </r>
    <r>
      <rPr>
        <b/>
        <i/>
        <sz val="13"/>
        <rFont val="Times New Roman"/>
        <family val="1"/>
        <charset val="204"/>
      </rPr>
      <t xml:space="preserve"> власної теплової енергії, </t>
    </r>
    <r>
      <rPr>
        <b/>
        <i/>
        <u/>
        <sz val="13"/>
        <rFont val="Times New Roman"/>
        <family val="1"/>
        <charset val="204"/>
      </rPr>
      <t>врахована</t>
    </r>
    <r>
      <rPr>
        <b/>
        <i/>
        <sz val="13"/>
        <rFont val="Times New Roman"/>
        <family val="1"/>
        <charset val="204"/>
      </rPr>
      <t xml:space="preserve"> у розрахунку тарифів </t>
    </r>
    <r>
      <rPr>
        <b/>
        <i/>
        <u/>
        <sz val="13"/>
        <rFont val="Times New Roman"/>
        <family val="1"/>
        <charset val="204"/>
      </rPr>
      <t xml:space="preserve">на послуги для потреб населення </t>
    </r>
  </si>
  <si>
    <t xml:space="preserve">Всього для населення </t>
  </si>
  <si>
    <t>Плановані тарифи на послуги з централізованого опалення (без ПДВ):</t>
  </si>
  <si>
    <t>Врахована в діючому тарифі з 01.04.2014 пост №214 от 31.03.2014</t>
  </si>
  <si>
    <t>вода</t>
  </si>
  <si>
    <t>цена старая</t>
  </si>
  <si>
    <t>водоотведение</t>
  </si>
  <si>
    <t>всего</t>
  </si>
  <si>
    <t>с 1.12.14 насел</t>
  </si>
  <si>
    <t>с 1.04.2015 насел</t>
  </si>
  <si>
    <t>вартість</t>
  </si>
  <si>
    <t>тариф</t>
  </si>
  <si>
    <r>
      <t xml:space="preserve">Всего </t>
    </r>
    <r>
      <rPr>
        <b/>
        <sz val="10"/>
        <rFont val="Symbol"/>
        <family val="1"/>
        <charset val="2"/>
      </rPr>
      <t>®</t>
    </r>
  </si>
  <si>
    <t>вартість из структуры нового тарифа</t>
  </si>
  <si>
    <t>населення</t>
  </si>
  <si>
    <t>бюджет</t>
  </si>
  <si>
    <t>інші</t>
  </si>
  <si>
    <t>без ПДВ</t>
  </si>
  <si>
    <t>Для потреб релігії</t>
  </si>
  <si>
    <t>Витрати газу, тис.м3</t>
  </si>
  <si>
    <t>ВСЬОГО</t>
  </si>
  <si>
    <t>Реалізація, тис.Гкал</t>
  </si>
  <si>
    <t>електроенергія на виробництво в сданом тарифе 04.04.2014, тис.грн.</t>
  </si>
  <si>
    <t>цена новая с 01.01.2015</t>
  </si>
  <si>
    <r>
      <t xml:space="preserve">1 класс </t>
    </r>
    <r>
      <rPr>
        <b/>
        <sz val="10"/>
        <rFont val="Symbol"/>
        <family val="1"/>
        <charset val="2"/>
      </rPr>
      <t>®</t>
    </r>
  </si>
  <si>
    <r>
      <t xml:space="preserve">2 класс+реакт </t>
    </r>
    <r>
      <rPr>
        <b/>
        <sz val="10"/>
        <rFont val="Symbol"/>
        <family val="1"/>
        <charset val="2"/>
      </rPr>
      <t>®</t>
    </r>
  </si>
  <si>
    <t>тариф новый</t>
  </si>
  <si>
    <t>прочие</t>
  </si>
  <si>
    <t>Коэффициент</t>
  </si>
  <si>
    <r>
      <t xml:space="preserve">1 класс </t>
    </r>
    <r>
      <rPr>
        <b/>
        <sz val="12"/>
        <rFont val="Symbol"/>
        <family val="1"/>
        <charset val="2"/>
      </rPr>
      <t>®</t>
    </r>
  </si>
  <si>
    <r>
      <t xml:space="preserve">2 класс+реакт </t>
    </r>
    <r>
      <rPr>
        <b/>
        <sz val="12"/>
        <rFont val="Symbol"/>
        <family val="1"/>
        <charset val="2"/>
      </rPr>
      <t>®</t>
    </r>
  </si>
  <si>
    <r>
      <t xml:space="preserve">Всего </t>
    </r>
    <r>
      <rPr>
        <b/>
        <sz val="12"/>
        <rFont val="Symbol"/>
        <family val="1"/>
        <charset val="2"/>
      </rPr>
      <t>®</t>
    </r>
  </si>
  <si>
    <r>
      <rPr>
        <b/>
        <sz val="12"/>
        <rFont val="Arial"/>
        <family val="2"/>
        <charset val="204"/>
      </rPr>
      <t xml:space="preserve">електроенергія </t>
    </r>
    <r>
      <rPr>
        <sz val="12"/>
        <rFont val="Arial"/>
        <family val="2"/>
        <charset val="204"/>
      </rPr>
      <t>на виробництво в сданом тарифе 04.04.2014, тис.грн.</t>
    </r>
  </si>
  <si>
    <t>население</t>
  </si>
  <si>
    <t>Послуги банку в грн. вісчитала сама</t>
  </si>
  <si>
    <t>планова тривалість опалювального періоду, діб</t>
  </si>
  <si>
    <r>
      <rPr>
        <sz val="12"/>
        <rFont val="Calibri"/>
        <family val="2"/>
        <charset val="204"/>
      </rPr>
      <t>→</t>
    </r>
    <r>
      <rPr>
        <sz val="12"/>
        <rFont val="Times New Roman"/>
        <family val="1"/>
        <charset val="204"/>
      </rPr>
      <t xml:space="preserve"> в Пост 1171 дод 11 вартисть грн./Гкал и грн./м2</t>
    </r>
  </si>
  <si>
    <t>если цену * на Витрати газу, тис.м3 =</t>
  </si>
  <si>
    <t>в утвержденной структуре =</t>
  </si>
  <si>
    <t>вартість из структуры нового тарифа тис.грн.</t>
  </si>
  <si>
    <t>зміни в тарифі з 01.07.2016 для всіх груп споживачів</t>
  </si>
  <si>
    <t>прямі</t>
  </si>
  <si>
    <t>інщі</t>
  </si>
  <si>
    <t>ФОП</t>
  </si>
  <si>
    <t>відрахув</t>
  </si>
  <si>
    <t>всього</t>
  </si>
  <si>
    <t>рах.91</t>
  </si>
  <si>
    <t>рах.92</t>
  </si>
  <si>
    <t xml:space="preserve">прямі витрати на оплату праці з відрахуваннями на соціальні заходи, у т.ч.: </t>
  </si>
  <si>
    <t>1.2.1</t>
  </si>
  <si>
    <t>1.2.2</t>
  </si>
  <si>
    <t xml:space="preserve">витрати на оплату праці з відрахуваннями на соціальні заходи, у т.ч.: </t>
  </si>
  <si>
    <t>1.4.1.1</t>
  </si>
  <si>
    <t>1.4.1.2</t>
  </si>
  <si>
    <t>2.1.1</t>
  </si>
  <si>
    <t>2.1.2</t>
  </si>
  <si>
    <t>Скориговані показники (на ТЕ згідно Постанови  №929 від 09.06.2016р.) з 01.07.2016р.</t>
  </si>
  <si>
    <t>Нова з 01.07.2016р.</t>
  </si>
  <si>
    <t xml:space="preserve"> =</t>
  </si>
  <si>
    <t>с 1.07.2016 насел</t>
  </si>
  <si>
    <t>В новом тарифе с 01.07.2016 только грн./Гкал</t>
  </si>
  <si>
    <t>на опл праці+відрах</t>
  </si>
  <si>
    <t>5,3515510 : 4,9091344 =</t>
  </si>
  <si>
    <t xml:space="preserve"> * 1004,84 т.грн =</t>
  </si>
  <si>
    <t>т.грн.</t>
  </si>
  <si>
    <t>( в т.ч. Прочие -1 438,831 тыс.м2  и религия - 96,566 тыс.м2)</t>
  </si>
  <si>
    <t>Изменений в тариф в связи с новой ценой на воду (с 02.08.2016) Нацкомиссия не вносила</t>
  </si>
  <si>
    <t>В договоре на октябрь 2016 цена:</t>
  </si>
  <si>
    <t>насел - 5674,70</t>
  </si>
  <si>
    <t>бюджет - 6767,02</t>
  </si>
  <si>
    <t>религия - 3203,70</t>
  </si>
  <si>
    <t>для прочих договор не заключен</t>
  </si>
  <si>
    <t>електроенергія на виробництво в сданом тарифе 04.04.2013, тис.грн.</t>
  </si>
  <si>
    <r>
      <t xml:space="preserve">(9,76%)    1 класс </t>
    </r>
    <r>
      <rPr>
        <b/>
        <sz val="10"/>
        <rFont val="Symbol"/>
        <family val="1"/>
        <charset val="2"/>
      </rPr>
      <t>®</t>
    </r>
  </si>
  <si>
    <r>
      <t xml:space="preserve">(90,24%) 2 класс+реакт </t>
    </r>
    <r>
      <rPr>
        <b/>
        <sz val="10"/>
        <rFont val="Symbol"/>
        <family val="1"/>
        <charset val="2"/>
      </rPr>
      <t>®</t>
    </r>
  </si>
  <si>
    <r>
      <t xml:space="preserve">(100%)         Всего </t>
    </r>
    <r>
      <rPr>
        <b/>
        <sz val="10"/>
        <rFont val="Symbol"/>
        <family val="1"/>
        <charset val="2"/>
      </rPr>
      <t>®</t>
    </r>
  </si>
  <si>
    <t>В структуре утвержд тарифов с 02.12.2016 нет разбиения єл-гии на 1 и 2 класс.</t>
  </si>
  <si>
    <t>Разбила єл-гию  по структуре тарифа с 1.07.2016</t>
  </si>
  <si>
    <t>3</t>
  </si>
  <si>
    <t>Витрати на покриття втрат</t>
  </si>
  <si>
    <t>4</t>
  </si>
  <si>
    <t>5</t>
  </si>
  <si>
    <t>6</t>
  </si>
  <si>
    <t>Витрати на оплату праці на транспортування (в тарифі з 01.07.2016), тис.грн.:</t>
  </si>
  <si>
    <t>Витрати на оплату праці на виробництво (в тарифі з 01.07.2016), тис.грн.:</t>
  </si>
  <si>
    <t>Витрати на оплату праці напостачання (в тарифі з 01.07.2016), тис.грн.:</t>
  </si>
  <si>
    <t>Відрахування 22%</t>
  </si>
  <si>
    <t>зміни в тарифі з 30.12.2016 для бюджета, інших та релігії</t>
  </si>
  <si>
    <t>зміни з 30.12.2016 на газ, електроенергію - індикативна ціна</t>
  </si>
  <si>
    <t>вартість из структуры нового тарифа с 30.12.16</t>
  </si>
  <si>
    <t>тариф  (с 30.12.2016г.) в Пост 2126</t>
  </si>
  <si>
    <t>Нова на січень 2017</t>
  </si>
  <si>
    <t>вартість газу нова, тис.грн. ( з нової структури з 24.02.2017)</t>
  </si>
  <si>
    <t>Нова на лютий 2017р.</t>
  </si>
  <si>
    <t>Для потреб бюджетних установ</t>
  </si>
  <si>
    <t>Затверджені постановою НКРЕКП від 02.12.2016р. №2126</t>
  </si>
  <si>
    <t>Директор КП "Павлоградтеплоенерго"</t>
  </si>
  <si>
    <t>М.В.Вовк</t>
  </si>
  <si>
    <t>грн/ Гкал</t>
  </si>
  <si>
    <t>Корисний відпуск теплової енергії з мереж ліцензіата, Гкал</t>
  </si>
  <si>
    <t>Затверджені Постановою НКРЕКП  від 09.06.2016р. №1101</t>
  </si>
  <si>
    <t xml:space="preserve">Обсяг реалізації теплової енергії, врахований у розрахунку собівартості теплової енергії, Гкал </t>
  </si>
  <si>
    <t>5.1.1</t>
  </si>
  <si>
    <t>5.1.2</t>
  </si>
  <si>
    <t>12</t>
  </si>
  <si>
    <t>15</t>
  </si>
  <si>
    <t>16</t>
  </si>
  <si>
    <t>Податок на додану вартість</t>
  </si>
  <si>
    <t xml:space="preserve">Структура  діючого тарифу та запропонованого для коригування тарифу на послугу з централізованого опалення, що надається населенню </t>
  </si>
  <si>
    <r>
      <t xml:space="preserve">Плановані тарифи на послуги, у т.ч. на послуги з централізованого опалення, </t>
    </r>
    <r>
      <rPr>
        <b/>
        <sz val="16"/>
        <rFont val="Times New Roman"/>
        <family val="1"/>
        <charset val="204"/>
      </rPr>
      <t xml:space="preserve">грн/Гкал </t>
    </r>
    <r>
      <rPr>
        <b/>
        <u/>
        <sz val="16"/>
        <rFont val="Times New Roman"/>
        <family val="1"/>
        <charset val="204"/>
      </rPr>
      <t>(з ПДВ)</t>
    </r>
  </si>
  <si>
    <r>
      <t xml:space="preserve">Плановані тарифи на послуги, у т.ч. на послуги з централізованого опалення, </t>
    </r>
    <r>
      <rPr>
        <b/>
        <sz val="16"/>
        <rFont val="Times New Roman"/>
        <family val="1"/>
        <charset val="204"/>
      </rPr>
      <t>грн/м²</t>
    </r>
    <r>
      <rPr>
        <b/>
        <sz val="13"/>
        <rFont val="Times New Roman"/>
        <family val="1"/>
        <charset val="204"/>
      </rPr>
      <t xml:space="preserve"> в місяць             </t>
    </r>
    <r>
      <rPr>
        <b/>
        <sz val="16"/>
        <rFont val="Times New Roman"/>
        <family val="1"/>
        <charset val="204"/>
      </rPr>
      <t xml:space="preserve">(з </t>
    </r>
    <r>
      <rPr>
        <b/>
        <u/>
        <sz val="16"/>
        <rFont val="Times New Roman"/>
        <family val="1"/>
        <charset val="204"/>
      </rPr>
      <t>ПДВ)</t>
    </r>
  </si>
  <si>
    <t>Х</t>
  </si>
  <si>
    <t>комунального підприємства "Павлоградтеплоенерго"</t>
  </si>
  <si>
    <r>
      <rPr>
        <b/>
        <sz val="16"/>
        <rFont val="Times New Roman"/>
        <family val="1"/>
        <charset val="204"/>
      </rPr>
      <t xml:space="preserve">Затверджені </t>
    </r>
    <r>
      <rPr>
        <b/>
        <sz val="12"/>
        <rFont val="Times New Roman"/>
        <family val="1"/>
        <charset val="204"/>
      </rPr>
      <t>постановою НКРЕКП від 29.12.2016р. №2439</t>
    </r>
  </si>
  <si>
    <r>
      <rPr>
        <b/>
        <sz val="16"/>
        <rFont val="Times New Roman"/>
        <family val="1"/>
        <charset val="204"/>
      </rPr>
      <t xml:space="preserve">Затверджені </t>
    </r>
    <r>
      <rPr>
        <b/>
        <sz val="12"/>
        <rFont val="Times New Roman"/>
        <family val="1"/>
        <charset val="204"/>
      </rPr>
      <t>постановою НКРЕКП від 09.06.2016р. №929</t>
    </r>
  </si>
  <si>
    <r>
      <rPr>
        <b/>
        <sz val="16"/>
        <rFont val="Times New Roman"/>
        <family val="1"/>
        <charset val="204"/>
      </rPr>
      <t xml:space="preserve">Затверджені </t>
    </r>
    <r>
      <rPr>
        <b/>
        <sz val="12"/>
        <rFont val="Times New Roman"/>
        <family val="1"/>
        <charset val="204"/>
      </rPr>
      <t>постановою НКРЕКП від 01.02.2017р. №151</t>
    </r>
  </si>
  <si>
    <t>Директор</t>
  </si>
  <si>
    <t>КП "Павлоградтеплоенерго"</t>
  </si>
  <si>
    <r>
      <t xml:space="preserve">Розрахунок тарифів на </t>
    </r>
    <r>
      <rPr>
        <b/>
        <u/>
        <sz val="26"/>
        <rFont val="Times New Roman"/>
        <family val="1"/>
        <charset val="204"/>
      </rPr>
      <t>теплову енергію</t>
    </r>
    <r>
      <rPr>
        <b/>
        <sz val="15"/>
        <rFont val="Times New Roman"/>
        <family val="1"/>
        <charset val="204"/>
      </rPr>
      <t xml:space="preserve"> КП "Павлоградтеплоенерго" відповідно до Порядку формування тарифів на теплову енергію, її виробництво, транспортування, постачання, затвердженого постановою КМУ від 01.06.2011 № 869 (зі змінами)</t>
    </r>
  </si>
  <si>
    <t>2015 рік (факт)</t>
  </si>
  <si>
    <t xml:space="preserve"> плановий період 2017 рік            </t>
  </si>
  <si>
    <t>2016 рік (факт)</t>
  </si>
  <si>
    <r>
      <t xml:space="preserve">Розрахунок тарифів на </t>
    </r>
    <r>
      <rPr>
        <b/>
        <u/>
        <sz val="20"/>
        <rFont val="Times New Roman"/>
        <family val="1"/>
        <charset val="204"/>
      </rPr>
      <t>постачання</t>
    </r>
    <r>
      <rPr>
        <b/>
        <sz val="18"/>
        <rFont val="Times New Roman"/>
        <family val="1"/>
        <charset val="204"/>
      </rPr>
      <t xml:space="preserve"> теплової енергії </t>
    </r>
  </si>
  <si>
    <r>
      <t xml:space="preserve">Розрахунок тарифів на </t>
    </r>
    <r>
      <rPr>
        <b/>
        <u/>
        <sz val="20"/>
        <rFont val="Times New Roman"/>
        <family val="1"/>
        <charset val="204"/>
      </rPr>
      <t>транспортування</t>
    </r>
    <r>
      <rPr>
        <b/>
        <sz val="18"/>
        <rFont val="Times New Roman"/>
        <family val="1"/>
        <charset val="204"/>
      </rPr>
      <t xml:space="preserve"> теплової енергії </t>
    </r>
  </si>
  <si>
    <r>
      <t xml:space="preserve">Розрахунок тарифів на </t>
    </r>
    <r>
      <rPr>
        <b/>
        <u/>
        <sz val="20"/>
        <rFont val="Times New Roman"/>
        <family val="1"/>
        <charset val="204"/>
      </rPr>
      <t>виробництво</t>
    </r>
    <r>
      <rPr>
        <b/>
        <sz val="18"/>
        <rFont val="Times New Roman"/>
        <family val="1"/>
        <charset val="204"/>
      </rPr>
      <t xml:space="preserve"> теплової енергії </t>
    </r>
  </si>
  <si>
    <t>Для потреб релігійних організацій</t>
  </si>
  <si>
    <t xml:space="preserve">Сумарні та середньозважені показники </t>
  </si>
  <si>
    <r>
      <t xml:space="preserve">Розрахунок тарифів  на </t>
    </r>
    <r>
      <rPr>
        <b/>
        <u/>
        <sz val="20"/>
        <rFont val="Times New Roman"/>
        <family val="1"/>
        <charset val="204"/>
      </rPr>
      <t>теплову енергію</t>
    </r>
    <r>
      <rPr>
        <b/>
        <sz val="18"/>
        <rFont val="Times New Roman"/>
        <family val="1"/>
        <charset val="204"/>
      </rPr>
      <t xml:space="preserve"> </t>
    </r>
  </si>
  <si>
    <t xml:space="preserve">вода та водовідведення </t>
  </si>
  <si>
    <t>інші матеріальні витрати</t>
  </si>
  <si>
    <t xml:space="preserve">матеріальні витрати, у т. ч.: </t>
  </si>
  <si>
    <t>1.4.1.3</t>
  </si>
  <si>
    <t>2.1.3</t>
  </si>
  <si>
    <t>2.2.1</t>
  </si>
  <si>
    <t>2.2.2</t>
  </si>
  <si>
    <t>2.4</t>
  </si>
  <si>
    <t>1.4.2.1</t>
  </si>
  <si>
    <t>1.4.2.2</t>
  </si>
  <si>
    <t>1.4.4</t>
  </si>
  <si>
    <t>прямі матеріальні витрати, у т.ч.:</t>
  </si>
  <si>
    <t>2.2.3</t>
  </si>
  <si>
    <t xml:space="preserve">матеріали, запасні частини та інші матеріальні ресурси, в т.ч.: </t>
  </si>
  <si>
    <t>ремонти</t>
  </si>
  <si>
    <t>охорона праці</t>
  </si>
  <si>
    <t>паливно-мастильні матеріали</t>
  </si>
  <si>
    <t xml:space="preserve"> МШП ( малоцінні та швидкозношувальні предмети)</t>
  </si>
  <si>
    <t>на охорону праці</t>
  </si>
  <si>
    <t>на ремонти</t>
  </si>
  <si>
    <t>на паливно-мастильні матеріали</t>
  </si>
  <si>
    <t>інші матеріальні витрати, у т.ч.:</t>
  </si>
  <si>
    <t xml:space="preserve"> на МШП (малоцінні та швидкозно-шувальні предмети)</t>
  </si>
  <si>
    <t>на хімматеріали на хімводоочищення</t>
  </si>
  <si>
    <t>податки</t>
  </si>
  <si>
    <t>послуги сторонніх організацій</t>
  </si>
  <si>
    <t>на МШП (малоцінні та швидкозно-шувальні предмети)</t>
  </si>
  <si>
    <t xml:space="preserve"> МШП (малоцінні та швидкозношувальні предмети)</t>
  </si>
  <si>
    <t>інші матеріальні витрати, в т.ч.:</t>
  </si>
  <si>
    <t xml:space="preserve"> послуги сторонніх організацій</t>
  </si>
  <si>
    <t>Виконавець:</t>
  </si>
  <si>
    <t>головний економіст Панасенко Галина Петрівна</t>
  </si>
  <si>
    <t>канцтовари</t>
  </si>
  <si>
    <t xml:space="preserve">Директор </t>
  </si>
</sst>
</file>

<file path=xl/styles.xml><?xml version="1.0" encoding="utf-8"?>
<styleSheet xmlns="http://schemas.openxmlformats.org/spreadsheetml/2006/main">
  <numFmts count="10">
    <numFmt numFmtId="188" formatCode="0.000000"/>
    <numFmt numFmtId="189" formatCode="0.000"/>
    <numFmt numFmtId="190" formatCode="#,##0.000"/>
    <numFmt numFmtId="191" formatCode="0.0000"/>
    <numFmt numFmtId="193" formatCode="0.0000000"/>
    <numFmt numFmtId="199" formatCode="#,##0.0000"/>
    <numFmt numFmtId="201" formatCode="#,##0.00000000"/>
    <numFmt numFmtId="202" formatCode="#,##0.00000"/>
    <numFmt numFmtId="203" formatCode="#,##0.000000"/>
    <numFmt numFmtId="204" formatCode="#,##0.0000000"/>
  </numFmts>
  <fonts count="93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9"/>
      <name val="Times New Roman"/>
      <family val="1"/>
      <charset val="1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.5"/>
      <name val="Arial"/>
      <family val="2"/>
      <charset val="204"/>
    </font>
    <font>
      <sz val="10.5"/>
      <name val="Times New Roman"/>
      <family val="1"/>
      <charset val="1"/>
    </font>
    <font>
      <b/>
      <sz val="10.5"/>
      <name val="Arial"/>
      <family val="2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.5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2.5"/>
      <name val="Times New Roman"/>
      <family val="1"/>
      <charset val="204"/>
    </font>
    <font>
      <sz val="12.5"/>
      <name val="Times New Roman"/>
      <family val="1"/>
      <charset val="204"/>
    </font>
    <font>
      <b/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1.5"/>
      <name val="Arial"/>
      <family val="2"/>
      <charset val="204"/>
    </font>
    <font>
      <b/>
      <sz val="13"/>
      <name val="Times New Roman"/>
      <family val="1"/>
      <charset val="204"/>
    </font>
    <font>
      <sz val="12"/>
      <name val="Arial"/>
      <family val="2"/>
      <charset val="204"/>
    </font>
    <font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Arial"/>
      <family val="2"/>
      <charset val="204"/>
    </font>
    <font>
      <sz val="16"/>
      <name val="Arial"/>
      <family val="2"/>
      <charset val="204"/>
    </font>
    <font>
      <b/>
      <sz val="12"/>
      <name val="Arial"/>
      <family val="2"/>
      <charset val="204"/>
    </font>
    <font>
      <sz val="13"/>
      <name val="Arial"/>
      <family val="2"/>
      <charset val="204"/>
    </font>
    <font>
      <sz val="13"/>
      <color indexed="10"/>
      <name val="Times New Roman"/>
      <family val="1"/>
      <charset val="204"/>
    </font>
    <font>
      <b/>
      <sz val="13"/>
      <name val="Arial"/>
      <family val="2"/>
      <charset val="204"/>
    </font>
    <font>
      <b/>
      <u/>
      <sz val="26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Symbol"/>
      <family val="1"/>
      <charset val="2"/>
    </font>
    <font>
      <b/>
      <sz val="11"/>
      <name val="Arial"/>
      <family val="2"/>
      <charset val="204"/>
    </font>
    <font>
      <b/>
      <sz val="12"/>
      <name val="Symbol"/>
      <family val="1"/>
      <charset val="2"/>
    </font>
    <font>
      <b/>
      <sz val="1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Calibri"/>
      <family val="2"/>
      <charset val="204"/>
    </font>
    <font>
      <b/>
      <sz val="14"/>
      <name val="Arial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8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3"/>
      <name val="Arial"/>
      <family val="2"/>
      <charset val="204"/>
    </font>
    <font>
      <b/>
      <sz val="20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20"/>
      <name val="Times New Roman"/>
      <family val="1"/>
      <charset val="204"/>
    </font>
    <font>
      <sz val="18"/>
      <name val="Arial"/>
      <family val="2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8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FF0000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6"/>
      <color rgb="FFFF0000"/>
      <name val="Arial"/>
      <family val="2"/>
      <charset val="204"/>
    </font>
    <font>
      <sz val="18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3"/>
      <color rgb="FFFF0000"/>
      <name val="Arial"/>
      <family val="2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color rgb="FFFF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1">
    <xf numFmtId="0" fontId="0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0" fillId="0" borderId="0"/>
  </cellStyleXfs>
  <cellXfs count="1222">
    <xf numFmtId="0" fontId="0" fillId="0" borderId="0" xfId="0"/>
    <xf numFmtId="0" fontId="0" fillId="0" borderId="0" xfId="0" applyFill="1"/>
    <xf numFmtId="0" fontId="2" fillId="0" borderId="0" xfId="0" applyFont="1" applyFill="1"/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wrapText="1"/>
    </xf>
    <xf numFmtId="0" fontId="11" fillId="0" borderId="0" xfId="0" applyFont="1" applyFill="1"/>
    <xf numFmtId="0" fontId="3" fillId="0" borderId="0" xfId="0" applyFont="1" applyFill="1" applyAlignment="1">
      <alignment horizontal="right" vertical="center"/>
    </xf>
    <xf numFmtId="0" fontId="1" fillId="0" borderId="0" xfId="0" applyFont="1" applyFill="1"/>
    <xf numFmtId="0" fontId="19" fillId="0" borderId="0" xfId="0" applyFont="1" applyFill="1"/>
    <xf numFmtId="2" fontId="2" fillId="0" borderId="0" xfId="0" applyNumberFormat="1" applyFont="1" applyFill="1" applyAlignment="1">
      <alignment horizontal="right"/>
    </xf>
    <xf numFmtId="49" fontId="9" fillId="0" borderId="4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9" fillId="0" borderId="0" xfId="0" applyFont="1" applyFill="1"/>
    <xf numFmtId="0" fontId="20" fillId="0" borderId="0" xfId="0" applyFont="1" applyFill="1" applyBorder="1"/>
    <xf numFmtId="4" fontId="20" fillId="0" borderId="0" xfId="0" applyNumberFormat="1" applyFont="1" applyFill="1" applyBorder="1"/>
    <xf numFmtId="2" fontId="20" fillId="0" borderId="0" xfId="0" applyNumberFormat="1" applyFont="1" applyFill="1" applyBorder="1"/>
    <xf numFmtId="0" fontId="9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/>
    <xf numFmtId="0" fontId="2" fillId="0" borderId="0" xfId="0" applyFont="1" applyFill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25" fillId="0" borderId="0" xfId="0" applyFont="1" applyFill="1"/>
    <xf numFmtId="0" fontId="1" fillId="0" borderId="4" xfId="0" applyFont="1" applyFill="1" applyBorder="1"/>
    <xf numFmtId="49" fontId="9" fillId="0" borderId="5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17" fillId="2" borderId="0" xfId="0" applyFont="1" applyFill="1"/>
    <xf numFmtId="0" fontId="18" fillId="2" borderId="0" xfId="0" applyFont="1" applyFill="1"/>
    <xf numFmtId="0" fontId="0" fillId="2" borderId="0" xfId="0" applyFill="1"/>
    <xf numFmtId="0" fontId="25" fillId="2" borderId="0" xfId="0" applyFont="1" applyFill="1"/>
    <xf numFmtId="0" fontId="4" fillId="2" borderId="0" xfId="0" applyFont="1" applyFill="1" applyAlignment="1">
      <alignment horizontal="right"/>
    </xf>
    <xf numFmtId="0" fontId="20" fillId="2" borderId="0" xfId="0" applyFont="1" applyFill="1"/>
    <xf numFmtId="0" fontId="21" fillId="2" borderId="0" xfId="0" applyFont="1" applyFill="1"/>
    <xf numFmtId="0" fontId="9" fillId="2" borderId="0" xfId="0" applyFont="1" applyFill="1" applyBorder="1" applyAlignment="1">
      <alignment horizontal="center"/>
    </xf>
    <xf numFmtId="2" fontId="9" fillId="2" borderId="4" xfId="0" applyNumberFormat="1" applyFont="1" applyFill="1" applyBorder="1" applyAlignment="1">
      <alignment horizontal="center" wrapText="1"/>
    </xf>
    <xf numFmtId="0" fontId="20" fillId="2" borderId="0" xfId="0" applyFont="1" applyFill="1" applyBorder="1"/>
    <xf numFmtId="0" fontId="9" fillId="2" borderId="0" xfId="0" applyFont="1" applyFill="1"/>
    <xf numFmtId="0" fontId="9" fillId="2" borderId="0" xfId="0" applyFont="1" applyFill="1" applyBorder="1"/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center" wrapText="1"/>
    </xf>
    <xf numFmtId="2" fontId="1" fillId="0" borderId="0" xfId="0" applyNumberFormat="1" applyFont="1" applyFill="1"/>
    <xf numFmtId="0" fontId="27" fillId="0" borderId="4" xfId="0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3" fillId="0" borderId="0" xfId="0" applyFont="1" applyFill="1" applyAlignment="1"/>
    <xf numFmtId="0" fontId="17" fillId="0" borderId="4" xfId="0" applyFont="1" applyFill="1" applyBorder="1" applyAlignment="1">
      <alignment horizontal="center" vertical="center" wrapText="1"/>
    </xf>
    <xf numFmtId="0" fontId="29" fillId="0" borderId="0" xfId="0" applyFont="1" applyFill="1" applyAlignment="1"/>
    <xf numFmtId="0" fontId="7" fillId="2" borderId="0" xfId="0" applyFont="1" applyFill="1" applyBorder="1" applyAlignment="1">
      <alignment vertical="center"/>
    </xf>
    <xf numFmtId="0" fontId="7" fillId="0" borderId="0" xfId="0" applyFont="1" applyFill="1" applyAlignment="1"/>
    <xf numFmtId="0" fontId="30" fillId="0" borderId="4" xfId="0" applyFont="1" applyFill="1" applyBorder="1" applyAlignment="1">
      <alignment wrapText="1"/>
    </xf>
    <xf numFmtId="0" fontId="31" fillId="0" borderId="4" xfId="0" applyFont="1" applyFill="1" applyBorder="1" applyAlignment="1">
      <alignment wrapText="1"/>
    </xf>
    <xf numFmtId="0" fontId="33" fillId="2" borderId="0" xfId="0" applyFont="1" applyFill="1" applyBorder="1" applyAlignment="1">
      <alignment vertical="center"/>
    </xf>
    <xf numFmtId="0" fontId="33" fillId="0" borderId="0" xfId="0" applyFont="1" applyFill="1" applyAlignment="1"/>
    <xf numFmtId="189" fontId="18" fillId="0" borderId="4" xfId="0" applyNumberFormat="1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horizontal="center" vertical="center" wrapText="1"/>
    </xf>
    <xf numFmtId="189" fontId="17" fillId="0" borderId="4" xfId="0" applyNumberFormat="1" applyFont="1" applyFill="1" applyBorder="1" applyAlignment="1">
      <alignment horizontal="center" vertical="center" wrapText="1"/>
    </xf>
    <xf numFmtId="2" fontId="17" fillId="0" borderId="4" xfId="0" applyNumberFormat="1" applyFont="1" applyFill="1" applyBorder="1" applyAlignment="1">
      <alignment horizontal="center" vertical="center" wrapText="1"/>
    </xf>
    <xf numFmtId="189" fontId="8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/>
    </xf>
    <xf numFmtId="189" fontId="1" fillId="0" borderId="4" xfId="0" applyNumberFormat="1" applyFont="1" applyFill="1" applyBorder="1" applyAlignment="1">
      <alignment horizontal="center" vertical="center"/>
    </xf>
    <xf numFmtId="189" fontId="9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188" fontId="9" fillId="0" borderId="4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0" fontId="30" fillId="0" borderId="4" xfId="0" applyFont="1" applyFill="1" applyBorder="1" applyAlignment="1">
      <alignment vertical="center" wrapText="1"/>
    </xf>
    <xf numFmtId="2" fontId="23" fillId="0" borderId="4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 wrapText="1"/>
    </xf>
    <xf numFmtId="2" fontId="24" fillId="2" borderId="4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30" fillId="0" borderId="4" xfId="0" applyNumberFormat="1" applyFont="1" applyFill="1" applyBorder="1" applyAlignment="1">
      <alignment wrapText="1"/>
    </xf>
    <xf numFmtId="2" fontId="31" fillId="0" borderId="4" xfId="0" applyNumberFormat="1" applyFont="1" applyFill="1" applyBorder="1" applyAlignment="1">
      <alignment wrapText="1"/>
    </xf>
    <xf numFmtId="2" fontId="22" fillId="0" borderId="0" xfId="0" applyNumberFormat="1" applyFont="1" applyFill="1"/>
    <xf numFmtId="189" fontId="9" fillId="0" borderId="5" xfId="0" applyNumberFormat="1" applyFont="1" applyFill="1" applyBorder="1" applyAlignment="1">
      <alignment horizontal="right" wrapText="1"/>
    </xf>
    <xf numFmtId="189" fontId="9" fillId="2" borderId="5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wrapText="1"/>
    </xf>
    <xf numFmtId="2" fontId="30" fillId="0" borderId="4" xfId="0" applyNumberFormat="1" applyFont="1" applyFill="1" applyBorder="1" applyAlignment="1">
      <alignment vertical="center" wrapText="1"/>
    </xf>
    <xf numFmtId="2" fontId="9" fillId="0" borderId="4" xfId="0" applyNumberFormat="1" applyFont="1" applyFill="1" applyBorder="1" applyAlignment="1">
      <alignment wrapText="1"/>
    </xf>
    <xf numFmtId="2" fontId="20" fillId="2" borderId="4" xfId="0" applyNumberFormat="1" applyFont="1" applyFill="1" applyBorder="1" applyAlignment="1">
      <alignment horizontal="center"/>
    </xf>
    <xf numFmtId="2" fontId="20" fillId="2" borderId="4" xfId="0" applyNumberFormat="1" applyFont="1" applyFill="1" applyBorder="1"/>
    <xf numFmtId="2" fontId="9" fillId="3" borderId="4" xfId="0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1" fontId="8" fillId="0" borderId="4" xfId="0" applyNumberFormat="1" applyFont="1" applyFill="1" applyBorder="1" applyAlignment="1">
      <alignment horizontal="center" vertical="center" wrapText="1"/>
    </xf>
    <xf numFmtId="188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center" vertical="center" wrapText="1"/>
    </xf>
    <xf numFmtId="188" fontId="8" fillId="4" borderId="4" xfId="0" applyNumberFormat="1" applyFont="1" applyFill="1" applyBorder="1" applyAlignment="1">
      <alignment horizontal="center" vertical="center" wrapText="1"/>
    </xf>
    <xf numFmtId="189" fontId="8" fillId="4" borderId="4" xfId="0" applyNumberFormat="1" applyFont="1" applyFill="1" applyBorder="1" applyAlignment="1">
      <alignment horizontal="center" vertical="center" wrapText="1"/>
    </xf>
    <xf numFmtId="189" fontId="8" fillId="4" borderId="4" xfId="0" applyNumberFormat="1" applyFont="1" applyFill="1" applyBorder="1" applyAlignment="1">
      <alignment horizontal="right" wrapText="1"/>
    </xf>
    <xf numFmtId="189" fontId="9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right" wrapText="1"/>
    </xf>
    <xf numFmtId="2" fontId="23" fillId="4" borderId="4" xfId="0" applyNumberFormat="1" applyFont="1" applyFill="1" applyBorder="1" applyAlignment="1">
      <alignment horizontal="center" vertical="center" wrapText="1"/>
    </xf>
    <xf numFmtId="2" fontId="24" fillId="4" borderId="4" xfId="0" applyNumberFormat="1" applyFont="1" applyFill="1" applyBorder="1" applyAlignment="1">
      <alignment horizontal="center" vertical="center" wrapText="1"/>
    </xf>
    <xf numFmtId="2" fontId="24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center" wrapText="1"/>
    </xf>
    <xf numFmtId="0" fontId="20" fillId="4" borderId="4" xfId="0" applyFont="1" applyFill="1" applyBorder="1" applyAlignment="1">
      <alignment horizontal="center"/>
    </xf>
    <xf numFmtId="0" fontId="20" fillId="4" borderId="4" xfId="0" applyFont="1" applyFill="1" applyBorder="1"/>
    <xf numFmtId="189" fontId="9" fillId="4" borderId="4" xfId="0" applyNumberFormat="1" applyFont="1" applyFill="1" applyBorder="1" applyAlignment="1">
      <alignment horizontal="center" wrapText="1"/>
    </xf>
    <xf numFmtId="0" fontId="0" fillId="0" borderId="0" xfId="0" applyFill="1" applyBorder="1"/>
    <xf numFmtId="2" fontId="4" fillId="0" borderId="0" xfId="0" applyNumberFormat="1" applyFont="1" applyFill="1" applyAlignment="1">
      <alignment horizontal="right"/>
    </xf>
    <xf numFmtId="2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28" fillId="0" borderId="0" xfId="0" applyFont="1" applyFill="1" applyBorder="1" applyAlignment="1">
      <alignment horizontal="center" vertical="center" wrapText="1"/>
    </xf>
    <xf numFmtId="0" fontId="12" fillId="0" borderId="0" xfId="8"/>
    <xf numFmtId="0" fontId="3" fillId="0" borderId="0" xfId="8" applyFont="1" applyFill="1" applyBorder="1" applyAlignment="1">
      <alignment vertical="center"/>
    </xf>
    <xf numFmtId="0" fontId="17" fillId="0" borderId="0" xfId="8" applyFont="1" applyFill="1" applyBorder="1" applyAlignment="1">
      <alignment vertical="center"/>
    </xf>
    <xf numFmtId="0" fontId="2" fillId="0" borderId="0" xfId="8" applyFont="1" applyFill="1"/>
    <xf numFmtId="0" fontId="3" fillId="0" borderId="0" xfId="8" applyFont="1" applyFill="1" applyBorder="1" applyAlignment="1">
      <alignment horizontal="right" vertical="center"/>
    </xf>
    <xf numFmtId="0" fontId="3" fillId="0" borderId="0" xfId="8" applyFont="1" applyFill="1" applyAlignment="1">
      <alignment wrapText="1"/>
    </xf>
    <xf numFmtId="0" fontId="2" fillId="0" borderId="0" xfId="8" applyFont="1" applyFill="1" applyAlignment="1">
      <alignment wrapText="1"/>
    </xf>
    <xf numFmtId="0" fontId="3" fillId="0" borderId="0" xfId="8" applyFont="1" applyFill="1" applyAlignment="1"/>
    <xf numFmtId="0" fontId="2" fillId="0" borderId="0" xfId="8" applyFont="1" applyFill="1" applyAlignment="1"/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center" wrapText="1"/>
    </xf>
    <xf numFmtId="3" fontId="3" fillId="0" borderId="4" xfId="8" applyNumberFormat="1" applyFont="1" applyBorder="1" applyAlignment="1">
      <alignment horizontal="center" vertical="center" wrapText="1"/>
    </xf>
    <xf numFmtId="0" fontId="9" fillId="0" borderId="0" xfId="8" applyFont="1" applyFill="1" applyBorder="1" applyAlignment="1">
      <alignment wrapText="1"/>
    </xf>
    <xf numFmtId="0" fontId="35" fillId="0" borderId="0" xfId="8" applyFont="1" applyAlignment="1"/>
    <xf numFmtId="2" fontId="2" fillId="2" borderId="0" xfId="8" applyNumberFormat="1" applyFont="1" applyFill="1" applyAlignment="1">
      <alignment horizontal="right"/>
    </xf>
    <xf numFmtId="0" fontId="34" fillId="2" borderId="0" xfId="8" applyFont="1" applyFill="1"/>
    <xf numFmtId="0" fontId="2" fillId="2" borderId="0" xfId="8" applyFont="1" applyFill="1"/>
    <xf numFmtId="0" fontId="22" fillId="0" borderId="0" xfId="8" applyFont="1" applyFill="1" applyAlignment="1">
      <alignment horizontal="left"/>
    </xf>
    <xf numFmtId="0" fontId="35" fillId="0" borderId="0" xfId="8" applyFont="1" applyAlignment="1">
      <alignment wrapText="1"/>
    </xf>
    <xf numFmtId="0" fontId="12" fillId="0" borderId="0" xfId="8" applyFill="1"/>
    <xf numFmtId="0" fontId="36" fillId="0" borderId="0" xfId="8" applyFont="1"/>
    <xf numFmtId="3" fontId="71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89" fontId="9" fillId="0" borderId="8" xfId="0" applyNumberFormat="1" applyFont="1" applyFill="1" applyBorder="1" applyAlignment="1">
      <alignment horizontal="center" vertical="center" wrapText="1"/>
    </xf>
    <xf numFmtId="189" fontId="8" fillId="0" borderId="8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37" fillId="0" borderId="0" xfId="0" applyFont="1" applyFill="1"/>
    <xf numFmtId="0" fontId="20" fillId="0" borderId="0" xfId="7" applyFont="1" applyFill="1"/>
    <xf numFmtId="0" fontId="21" fillId="0" borderId="0" xfId="7" applyFont="1" applyFill="1"/>
    <xf numFmtId="0" fontId="33" fillId="0" borderId="0" xfId="7" applyFont="1" applyFill="1" applyBorder="1" applyAlignment="1">
      <alignment vertical="center"/>
    </xf>
    <xf numFmtId="0" fontId="7" fillId="0" borderId="0" xfId="7" applyFont="1" applyFill="1" applyBorder="1" applyAlignment="1">
      <alignment vertical="center"/>
    </xf>
    <xf numFmtId="0" fontId="25" fillId="0" borderId="0" xfId="7" applyFont="1" applyFill="1"/>
    <xf numFmtId="0" fontId="33" fillId="0" borderId="0" xfId="7" applyFont="1" applyFill="1" applyAlignment="1"/>
    <xf numFmtId="0" fontId="7" fillId="0" borderId="0" xfId="7" applyFont="1" applyFill="1" applyAlignment="1"/>
    <xf numFmtId="0" fontId="9" fillId="0" borderId="0" xfId="7" applyFont="1" applyFill="1"/>
    <xf numFmtId="0" fontId="9" fillId="0" borderId="0" xfId="7" applyFont="1" applyFill="1" applyBorder="1" applyAlignment="1">
      <alignment horizontal="center"/>
    </xf>
    <xf numFmtId="0" fontId="4" fillId="0" borderId="0" xfId="7" applyFont="1" applyFill="1" applyAlignment="1">
      <alignment horizontal="right"/>
    </xf>
    <xf numFmtId="0" fontId="17" fillId="0" borderId="4" xfId="7" applyFont="1" applyFill="1" applyBorder="1" applyAlignment="1">
      <alignment horizontal="center" vertical="center" wrapText="1"/>
    </xf>
    <xf numFmtId="0" fontId="9" fillId="0" borderId="6" xfId="7" applyFont="1" applyFill="1" applyBorder="1" applyAlignment="1">
      <alignment horizontal="center" wrapText="1"/>
    </xf>
    <xf numFmtId="0" fontId="9" fillId="0" borderId="7" xfId="7" applyFont="1" applyFill="1" applyBorder="1" applyAlignment="1">
      <alignment horizontal="center" wrapText="1"/>
    </xf>
    <xf numFmtId="0" fontId="20" fillId="0" borderId="7" xfId="7" applyFont="1" applyFill="1" applyBorder="1" applyAlignment="1">
      <alignment horizontal="center"/>
    </xf>
    <xf numFmtId="1" fontId="3" fillId="0" borderId="4" xfId="7" applyNumberFormat="1" applyFont="1" applyFill="1" applyBorder="1" applyAlignment="1">
      <alignment horizontal="center" wrapText="1"/>
    </xf>
    <xf numFmtId="2" fontId="31" fillId="0" borderId="4" xfId="7" applyNumberFormat="1" applyFont="1" applyFill="1" applyBorder="1" applyAlignment="1">
      <alignment wrapText="1"/>
    </xf>
    <xf numFmtId="2" fontId="8" fillId="0" borderId="4" xfId="7" applyNumberFormat="1" applyFont="1" applyFill="1" applyBorder="1" applyAlignment="1">
      <alignment horizontal="center" vertical="center" wrapText="1"/>
    </xf>
    <xf numFmtId="2" fontId="20" fillId="0" borderId="4" xfId="7" applyNumberFormat="1" applyFont="1" applyFill="1" applyBorder="1" applyAlignment="1">
      <alignment horizontal="center" vertical="center"/>
    </xf>
    <xf numFmtId="1" fontId="4" fillId="0" borderId="4" xfId="7" applyNumberFormat="1" applyFont="1" applyFill="1" applyBorder="1" applyAlignment="1">
      <alignment horizontal="center" wrapText="1"/>
    </xf>
    <xf numFmtId="2" fontId="30" fillId="0" borderId="4" xfId="7" applyNumberFormat="1" applyFont="1" applyFill="1" applyBorder="1" applyAlignment="1">
      <alignment wrapText="1"/>
    </xf>
    <xf numFmtId="2" fontId="4" fillId="0" borderId="4" xfId="7" applyNumberFormat="1" applyFont="1" applyFill="1" applyBorder="1" applyAlignment="1">
      <alignment horizontal="center" wrapText="1"/>
    </xf>
    <xf numFmtId="2" fontId="3" fillId="0" borderId="4" xfId="7" applyNumberFormat="1" applyFont="1" applyFill="1" applyBorder="1" applyAlignment="1">
      <alignment horizontal="center" wrapText="1"/>
    </xf>
    <xf numFmtId="2" fontId="9" fillId="0" borderId="4" xfId="7" applyNumberFormat="1" applyFont="1" applyFill="1" applyBorder="1" applyAlignment="1">
      <alignment horizontal="center" vertical="center" wrapText="1"/>
    </xf>
    <xf numFmtId="2" fontId="9" fillId="0" borderId="4" xfId="7" applyNumberFormat="1" applyFont="1" applyFill="1" applyBorder="1" applyAlignment="1">
      <alignment horizontal="right" wrapText="1"/>
    </xf>
    <xf numFmtId="2" fontId="30" fillId="0" borderId="4" xfId="7" applyNumberFormat="1" applyFont="1" applyFill="1" applyBorder="1" applyAlignment="1">
      <alignment vertical="center" wrapText="1"/>
    </xf>
    <xf numFmtId="2" fontId="23" fillId="0" borderId="4" xfId="7" applyNumberFormat="1" applyFont="1" applyFill="1" applyBorder="1" applyAlignment="1">
      <alignment horizontal="center" vertical="center" wrapText="1"/>
    </xf>
    <xf numFmtId="2" fontId="24" fillId="0" borderId="4" xfId="7" applyNumberFormat="1" applyFont="1" applyFill="1" applyBorder="1" applyAlignment="1">
      <alignment horizontal="center" vertical="center" wrapText="1"/>
    </xf>
    <xf numFmtId="2" fontId="9" fillId="0" borderId="4" xfId="7" applyNumberFormat="1" applyFont="1" applyFill="1" applyBorder="1" applyAlignment="1">
      <alignment horizontal="center" wrapText="1"/>
    </xf>
    <xf numFmtId="2" fontId="9" fillId="0" borderId="4" xfId="7" applyNumberFormat="1" applyFont="1" applyFill="1" applyBorder="1" applyAlignment="1">
      <alignment wrapText="1"/>
    </xf>
    <xf numFmtId="2" fontId="24" fillId="0" borderId="4" xfId="7" applyNumberFormat="1" applyFont="1" applyFill="1" applyBorder="1" applyAlignment="1">
      <alignment horizontal="center" wrapText="1"/>
    </xf>
    <xf numFmtId="2" fontId="20" fillId="0" borderId="4" xfId="7" applyNumberFormat="1" applyFont="1" applyFill="1" applyBorder="1" applyAlignment="1">
      <alignment horizontal="center"/>
    </xf>
    <xf numFmtId="2" fontId="20" fillId="0" borderId="4" xfId="7" applyNumberFormat="1" applyFont="1" applyFill="1" applyBorder="1"/>
    <xf numFmtId="49" fontId="9" fillId="0" borderId="5" xfId="7" applyNumberFormat="1" applyFont="1" applyFill="1" applyBorder="1" applyAlignment="1">
      <alignment horizontal="center" wrapText="1"/>
    </xf>
    <xf numFmtId="0" fontId="9" fillId="0" borderId="5" xfId="7" applyFont="1" applyFill="1" applyBorder="1" applyAlignment="1">
      <alignment wrapText="1"/>
    </xf>
    <xf numFmtId="189" fontId="9" fillId="0" borderId="5" xfId="7" applyNumberFormat="1" applyFont="1" applyFill="1" applyBorder="1" applyAlignment="1">
      <alignment horizontal="right" wrapText="1"/>
    </xf>
    <xf numFmtId="0" fontId="20" fillId="0" borderId="0" xfId="7" applyFont="1" applyFill="1" applyBorder="1"/>
    <xf numFmtId="0" fontId="7" fillId="0" borderId="0" xfId="7" applyFont="1" applyFill="1"/>
    <xf numFmtId="2" fontId="8" fillId="0" borderId="4" xfId="7" applyNumberFormat="1" applyFont="1" applyFill="1" applyBorder="1" applyAlignment="1">
      <alignment horizontal="center" wrapText="1"/>
    </xf>
    <xf numFmtId="2" fontId="0" fillId="0" borderId="0" xfId="0" applyNumberForma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26" fillId="0" borderId="0" xfId="0" applyNumberFormat="1" applyFont="1" applyFill="1" applyBorder="1" applyAlignment="1">
      <alignment horizontal="center" vertical="center" wrapText="1"/>
    </xf>
    <xf numFmtId="2" fontId="26" fillId="0" borderId="0" xfId="0" applyNumberFormat="1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40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0" fillId="3" borderId="0" xfId="0" applyFill="1"/>
    <xf numFmtId="2" fontId="4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41" fillId="0" borderId="4" xfId="0" applyFont="1" applyFill="1" applyBorder="1" applyAlignment="1">
      <alignment wrapText="1"/>
    </xf>
    <xf numFmtId="0" fontId="32" fillId="0" borderId="0" xfId="0" applyFont="1" applyFill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191" fontId="4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/>
    <xf numFmtId="0" fontId="0" fillId="0" borderId="0" xfId="0" applyFont="1" applyFill="1"/>
    <xf numFmtId="2" fontId="2" fillId="0" borderId="0" xfId="0" applyNumberFormat="1" applyFont="1" applyFill="1" applyAlignment="1">
      <alignment horizontal="center"/>
    </xf>
    <xf numFmtId="0" fontId="3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190" fontId="9" fillId="0" borderId="0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Border="1" applyAlignment="1">
      <alignment horizontal="center" vertical="center"/>
    </xf>
    <xf numFmtId="190" fontId="8" fillId="0" borderId="0" xfId="0" applyNumberFormat="1" applyFont="1" applyFill="1" applyBorder="1" applyAlignment="1">
      <alignment horizontal="center" vertical="center" wrapText="1"/>
    </xf>
    <xf numFmtId="190" fontId="8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7" fillId="0" borderId="0" xfId="0" applyFont="1" applyFill="1" applyBorder="1"/>
    <xf numFmtId="0" fontId="40" fillId="0" borderId="0" xfId="0" applyFont="1" applyFill="1" applyBorder="1"/>
    <xf numFmtId="0" fontId="11" fillId="0" borderId="0" xfId="0" applyFont="1" applyFill="1" applyBorder="1"/>
    <xf numFmtId="0" fontId="7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38" fillId="0" borderId="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0" fillId="3" borderId="0" xfId="0" applyFont="1" applyFill="1"/>
    <xf numFmtId="191" fontId="3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vertical="center" wrapText="1"/>
    </xf>
    <xf numFmtId="2" fontId="0" fillId="0" borderId="0" xfId="0" applyNumberFormat="1" applyFont="1" applyFill="1" applyAlignment="1">
      <alignment wrapText="1"/>
    </xf>
    <xf numFmtId="2" fontId="36" fillId="0" borderId="4" xfId="0" applyNumberFormat="1" applyFont="1" applyFill="1" applyBorder="1" applyAlignment="1">
      <alignment wrapText="1"/>
    </xf>
    <xf numFmtId="0" fontId="36" fillId="0" borderId="4" xfId="0" applyFont="1" applyFill="1" applyBorder="1" applyAlignment="1">
      <alignment wrapText="1"/>
    </xf>
    <xf numFmtId="2" fontId="17" fillId="0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191" fontId="4" fillId="0" borderId="4" xfId="0" applyNumberFormat="1" applyFont="1" applyFill="1" applyBorder="1" applyAlignment="1">
      <alignment horizontal="center" vertical="center"/>
    </xf>
    <xf numFmtId="4" fontId="4" fillId="0" borderId="10" xfId="0" applyNumberFormat="1" applyFont="1" applyFill="1" applyBorder="1" applyAlignment="1">
      <alignment wrapText="1"/>
    </xf>
    <xf numFmtId="4" fontId="4" fillId="0" borderId="4" xfId="0" applyNumberFormat="1" applyFont="1" applyFill="1" applyBorder="1" applyAlignment="1">
      <alignment wrapText="1"/>
    </xf>
    <xf numFmtId="191" fontId="4" fillId="0" borderId="4" xfId="0" applyNumberFormat="1" applyFont="1" applyFill="1" applyBorder="1"/>
    <xf numFmtId="0" fontId="3" fillId="0" borderId="4" xfId="0" applyFont="1" applyFill="1" applyBorder="1"/>
    <xf numFmtId="2" fontId="32" fillId="0" borderId="0" xfId="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2" fillId="0" borderId="0" xfId="0" applyFont="1" applyFill="1" applyAlignment="1">
      <alignment wrapText="1"/>
    </xf>
    <xf numFmtId="0" fontId="9" fillId="0" borderId="11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2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2" fontId="35" fillId="0" borderId="4" xfId="0" applyNumberFormat="1" applyFont="1" applyFill="1" applyBorder="1" applyAlignment="1">
      <alignment horizontal="center" vertical="center" wrapText="1"/>
    </xf>
    <xf numFmtId="2" fontId="35" fillId="0" borderId="0" xfId="0" applyNumberFormat="1" applyFont="1" applyFill="1"/>
    <xf numFmtId="0" fontId="35" fillId="0" borderId="0" xfId="0" applyFont="1" applyFill="1"/>
    <xf numFmtId="2" fontId="29" fillId="0" borderId="4" xfId="0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wrapText="1"/>
    </xf>
    <xf numFmtId="0" fontId="42" fillId="0" borderId="0" xfId="0" applyFont="1" applyFill="1"/>
    <xf numFmtId="2" fontId="29" fillId="0" borderId="0" xfId="0" applyNumberFormat="1" applyFont="1" applyFill="1"/>
    <xf numFmtId="0" fontId="29" fillId="0" borderId="0" xfId="0" applyFont="1" applyFill="1"/>
    <xf numFmtId="0" fontId="43" fillId="0" borderId="0" xfId="0" applyFont="1" applyFill="1"/>
    <xf numFmtId="0" fontId="44" fillId="0" borderId="0" xfId="0" applyFont="1" applyFill="1"/>
    <xf numFmtId="0" fontId="28" fillId="0" borderId="4" xfId="0" applyFont="1" applyFill="1" applyBorder="1" applyAlignment="1">
      <alignment horizontal="center" wrapText="1"/>
    </xf>
    <xf numFmtId="0" fontId="32" fillId="0" borderId="0" xfId="0" applyFont="1" applyFill="1" applyAlignment="1">
      <alignment horizontal="right"/>
    </xf>
    <xf numFmtId="0" fontId="7" fillId="0" borderId="4" xfId="0" applyFont="1" applyFill="1" applyBorder="1" applyAlignment="1">
      <alignment horizontal="left" vertical="center" wrapText="1" indent="1"/>
    </xf>
    <xf numFmtId="4" fontId="4" fillId="0" borderId="4" xfId="0" applyNumberFormat="1" applyFont="1" applyFill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9" fillId="5" borderId="4" xfId="0" applyNumberFormat="1" applyFont="1" applyFill="1" applyBorder="1" applyAlignment="1">
      <alignment horizontal="center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>
      <alignment horizontal="center" vertical="center" wrapText="1"/>
    </xf>
    <xf numFmtId="4" fontId="18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horizontal="center" wrapText="1"/>
    </xf>
    <xf numFmtId="191" fontId="4" fillId="5" borderId="4" xfId="0" applyNumberFormat="1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left" vertical="center" wrapText="1"/>
    </xf>
    <xf numFmtId="191" fontId="3" fillId="5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99" fontId="4" fillId="0" borderId="4" xfId="0" applyNumberFormat="1" applyFont="1" applyFill="1" applyBorder="1" applyAlignment="1">
      <alignment horizontal="center" vertical="center" wrapText="1"/>
    </xf>
    <xf numFmtId="199" fontId="4" fillId="5" borderId="4" xfId="0" applyNumberFormat="1" applyFont="1" applyFill="1" applyBorder="1" applyAlignment="1">
      <alignment horizontal="center" vertical="center" wrapText="1"/>
    </xf>
    <xf numFmtId="199" fontId="3" fillId="0" borderId="4" xfId="0" applyNumberFormat="1" applyFont="1" applyFill="1" applyBorder="1" applyAlignment="1">
      <alignment horizontal="center" vertical="center" wrapText="1"/>
    </xf>
    <xf numFmtId="4" fontId="35" fillId="5" borderId="4" xfId="0" applyNumberFormat="1" applyFont="1" applyFill="1" applyBorder="1" applyAlignment="1">
      <alignment horizontal="center" vertical="center" wrapText="1"/>
    </xf>
    <xf numFmtId="2" fontId="35" fillId="5" borderId="4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wrapText="1"/>
    </xf>
    <xf numFmtId="0" fontId="28" fillId="5" borderId="4" xfId="0" applyFont="1" applyFill="1" applyBorder="1" applyAlignment="1">
      <alignment horizontal="center" wrapText="1"/>
    </xf>
    <xf numFmtId="49" fontId="28" fillId="0" borderId="4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wrapText="1"/>
    </xf>
    <xf numFmtId="49" fontId="28" fillId="5" borderId="4" xfId="0" applyNumberFormat="1" applyFont="1" applyFill="1" applyBorder="1" applyAlignment="1">
      <alignment horizontal="center" wrapText="1"/>
    </xf>
    <xf numFmtId="0" fontId="28" fillId="5" borderId="4" xfId="0" applyFont="1" applyFill="1" applyBorder="1" applyAlignment="1">
      <alignment wrapText="1"/>
    </xf>
    <xf numFmtId="49" fontId="7" fillId="0" borderId="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wrapText="1"/>
    </xf>
    <xf numFmtId="49" fontId="7" fillId="0" borderId="13" xfId="0" applyNumberFormat="1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wrapText="1"/>
    </xf>
    <xf numFmtId="0" fontId="28" fillId="0" borderId="4" xfId="0" applyFont="1" applyFill="1" applyBorder="1" applyAlignment="1">
      <alignment horizontal="center" vertical="center"/>
    </xf>
    <xf numFmtId="0" fontId="28" fillId="0" borderId="4" xfId="0" applyFont="1" applyFill="1" applyBorder="1"/>
    <xf numFmtId="1" fontId="4" fillId="0" borderId="4" xfId="0" applyNumberFormat="1" applyFont="1" applyFill="1" applyBorder="1" applyAlignment="1">
      <alignment horizontal="center" vertical="center" wrapText="1"/>
    </xf>
    <xf numFmtId="191" fontId="3" fillId="0" borderId="4" xfId="0" applyNumberFormat="1" applyFont="1" applyFill="1" applyBorder="1"/>
    <xf numFmtId="2" fontId="3" fillId="0" borderId="5" xfId="0" applyNumberFormat="1" applyFont="1" applyFill="1" applyBorder="1" applyAlignment="1">
      <alignment horizontal="right" wrapText="1"/>
    </xf>
    <xf numFmtId="191" fontId="3" fillId="0" borderId="5" xfId="0" applyNumberFormat="1" applyFont="1" applyFill="1" applyBorder="1" applyAlignment="1">
      <alignment horizontal="right" wrapText="1"/>
    </xf>
    <xf numFmtId="1" fontId="3" fillId="0" borderId="5" xfId="0" applyNumberFormat="1" applyFont="1" applyFill="1" applyBorder="1" applyAlignment="1">
      <alignment horizontal="right" wrapText="1"/>
    </xf>
    <xf numFmtId="0" fontId="46" fillId="0" borderId="0" xfId="0" applyFont="1" applyFill="1"/>
    <xf numFmtId="2" fontId="3" fillId="0" borderId="13" xfId="0" applyNumberFormat="1" applyFont="1" applyFill="1" applyBorder="1" applyAlignment="1">
      <alignment horizontal="right" wrapText="1"/>
    </xf>
    <xf numFmtId="191" fontId="3" fillId="0" borderId="13" xfId="0" applyNumberFormat="1" applyFont="1" applyFill="1" applyBorder="1" applyAlignment="1">
      <alignment horizontal="right" wrapText="1"/>
    </xf>
    <xf numFmtId="1" fontId="3" fillId="0" borderId="13" xfId="0" applyNumberFormat="1" applyFont="1" applyFill="1" applyBorder="1" applyAlignment="1">
      <alignment horizontal="right" wrapText="1"/>
    </xf>
    <xf numFmtId="2" fontId="3" fillId="0" borderId="14" xfId="0" applyNumberFormat="1" applyFont="1" applyFill="1" applyBorder="1" applyAlignment="1">
      <alignment horizontal="right" wrapText="1"/>
    </xf>
    <xf numFmtId="191" fontId="3" fillId="0" borderId="14" xfId="0" applyNumberFormat="1" applyFont="1" applyFill="1" applyBorder="1" applyAlignment="1">
      <alignment horizontal="right" wrapText="1"/>
    </xf>
    <xf numFmtId="1" fontId="3" fillId="0" borderId="14" xfId="0" applyNumberFormat="1" applyFont="1" applyFill="1" applyBorder="1" applyAlignment="1">
      <alignment horizontal="right" wrapText="1"/>
    </xf>
    <xf numFmtId="2" fontId="3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 wrapText="1"/>
    </xf>
    <xf numFmtId="2" fontId="3" fillId="5" borderId="5" xfId="0" applyNumberFormat="1" applyFont="1" applyFill="1" applyBorder="1" applyAlignment="1">
      <alignment horizontal="right" wrapText="1"/>
    </xf>
    <xf numFmtId="2" fontId="3" fillId="5" borderId="13" xfId="0" applyNumberFormat="1" applyFont="1" applyFill="1" applyBorder="1" applyAlignment="1">
      <alignment horizontal="right" wrapText="1"/>
    </xf>
    <xf numFmtId="2" fontId="3" fillId="5" borderId="14" xfId="0" applyNumberFormat="1" applyFont="1" applyFill="1" applyBorder="1" applyAlignment="1">
      <alignment horizontal="right" wrapText="1"/>
    </xf>
    <xf numFmtId="2" fontId="4" fillId="5" borderId="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right"/>
    </xf>
    <xf numFmtId="1" fontId="3" fillId="5" borderId="5" xfId="0" applyNumberFormat="1" applyFont="1" applyFill="1" applyBorder="1" applyAlignment="1">
      <alignment horizontal="right" wrapText="1"/>
    </xf>
    <xf numFmtId="1" fontId="3" fillId="5" borderId="13" xfId="0" applyNumberFormat="1" applyFont="1" applyFill="1" applyBorder="1" applyAlignment="1">
      <alignment horizontal="right" wrapText="1"/>
    </xf>
    <xf numFmtId="1" fontId="3" fillId="5" borderId="14" xfId="0" applyNumberFormat="1" applyFont="1" applyFill="1" applyBorder="1" applyAlignment="1">
      <alignment horizontal="right" wrapText="1"/>
    </xf>
    <xf numFmtId="0" fontId="3" fillId="5" borderId="4" xfId="0" applyFont="1" applyFill="1" applyBorder="1"/>
    <xf numFmtId="1" fontId="4" fillId="5" borderId="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wrapText="1"/>
    </xf>
    <xf numFmtId="49" fontId="28" fillId="0" borderId="15" xfId="0" applyNumberFormat="1" applyFont="1" applyFill="1" applyBorder="1" applyAlignment="1">
      <alignment horizontal="center" wrapText="1"/>
    </xf>
    <xf numFmtId="0" fontId="28" fillId="0" borderId="0" xfId="0" applyFont="1" applyFill="1" applyBorder="1"/>
    <xf numFmtId="0" fontId="28" fillId="0" borderId="7" xfId="0" applyFont="1" applyFill="1" applyBorder="1"/>
    <xf numFmtId="0" fontId="9" fillId="5" borderId="1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wrapText="1"/>
    </xf>
    <xf numFmtId="2" fontId="35" fillId="0" borderId="0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 applyAlignment="1">
      <alignment horizontal="center" vertical="center" wrapText="1"/>
    </xf>
    <xf numFmtId="4" fontId="29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4" fontId="47" fillId="0" borderId="4" xfId="0" applyNumberFormat="1" applyFont="1" applyFill="1" applyBorder="1" applyAlignment="1">
      <alignment horizontal="center" vertical="center" wrapText="1"/>
    </xf>
    <xf numFmtId="0" fontId="48" fillId="0" borderId="0" xfId="0" applyFont="1" applyFill="1"/>
    <xf numFmtId="2" fontId="47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5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Fill="1" applyAlignment="1">
      <alignment vertical="center"/>
    </xf>
    <xf numFmtId="2" fontId="35" fillId="0" borderId="15" xfId="0" applyNumberFormat="1" applyFont="1" applyFill="1" applyBorder="1" applyAlignment="1">
      <alignment horizontal="center" vertical="center" wrapText="1"/>
    </xf>
    <xf numFmtId="2" fontId="35" fillId="0" borderId="16" xfId="0" applyNumberFormat="1" applyFont="1" applyFill="1" applyBorder="1" applyAlignment="1">
      <alignment horizontal="center" vertical="center"/>
    </xf>
    <xf numFmtId="2" fontId="29" fillId="0" borderId="15" xfId="0" applyNumberFormat="1" applyFont="1" applyFill="1" applyBorder="1" applyAlignment="1">
      <alignment horizontal="center" vertical="center" wrapText="1"/>
    </xf>
    <xf numFmtId="2" fontId="29" fillId="0" borderId="16" xfId="0" applyNumberFormat="1" applyFont="1" applyFill="1" applyBorder="1" applyAlignment="1">
      <alignment horizontal="center" vertical="center"/>
    </xf>
    <xf numFmtId="2" fontId="35" fillId="0" borderId="16" xfId="0" applyNumberFormat="1" applyFont="1" applyFill="1" applyBorder="1" applyAlignment="1">
      <alignment horizontal="center" vertical="center" wrapText="1"/>
    </xf>
    <xf numFmtId="2" fontId="35" fillId="0" borderId="17" xfId="0" applyNumberFormat="1" applyFont="1" applyFill="1" applyBorder="1" applyAlignment="1">
      <alignment horizontal="center" vertical="center"/>
    </xf>
    <xf numFmtId="2" fontId="35" fillId="0" borderId="15" xfId="0" applyNumberFormat="1" applyFont="1" applyFill="1" applyBorder="1" applyAlignment="1">
      <alignment horizontal="center" vertical="center"/>
    </xf>
    <xf numFmtId="2" fontId="29" fillId="0" borderId="15" xfId="0" applyNumberFormat="1" applyFont="1" applyFill="1" applyBorder="1" applyAlignment="1">
      <alignment horizontal="center" vertical="center"/>
    </xf>
    <xf numFmtId="4" fontId="28" fillId="0" borderId="15" xfId="0" applyNumberFormat="1" applyFont="1" applyFill="1" applyBorder="1" applyAlignment="1">
      <alignment horizontal="center" vertical="center" wrapText="1"/>
    </xf>
    <xf numFmtId="4" fontId="28" fillId="0" borderId="16" xfId="0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center" vertical="center" wrapText="1"/>
    </xf>
    <xf numFmtId="4" fontId="7" fillId="0" borderId="16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/>
    </xf>
    <xf numFmtId="4" fontId="3" fillId="5" borderId="8" xfId="0" applyNumberFormat="1" applyFont="1" applyFill="1" applyBorder="1" applyAlignment="1">
      <alignment horizontal="center" vertical="center" wrapText="1"/>
    </xf>
    <xf numFmtId="4" fontId="35" fillId="5" borderId="8" xfId="0" applyNumberFormat="1" applyFont="1" applyFill="1" applyBorder="1" applyAlignment="1">
      <alignment horizontal="center" vertical="center" wrapText="1"/>
    </xf>
    <xf numFmtId="4" fontId="4" fillId="5" borderId="0" xfId="0" applyNumberFormat="1" applyFont="1" applyFill="1" applyBorder="1" applyAlignment="1">
      <alignment horizontal="center" vertical="center" wrapText="1"/>
    </xf>
    <xf numFmtId="4" fontId="3" fillId="5" borderId="0" xfId="0" applyNumberFormat="1" applyFont="1" applyFill="1" applyBorder="1" applyAlignment="1">
      <alignment horizontal="center" vertical="center" wrapText="1"/>
    </xf>
    <xf numFmtId="2" fontId="41" fillId="0" borderId="4" xfId="0" applyNumberFormat="1" applyFont="1" applyFill="1" applyBorder="1" applyAlignment="1">
      <alignment wrapText="1"/>
    </xf>
    <xf numFmtId="4" fontId="35" fillId="0" borderId="16" xfId="0" applyNumberFormat="1" applyFont="1" applyFill="1" applyBorder="1" applyAlignment="1">
      <alignment horizontal="center" vertical="center"/>
    </xf>
    <xf numFmtId="4" fontId="35" fillId="0" borderId="15" xfId="0" applyNumberFormat="1" applyFont="1" applyFill="1" applyBorder="1" applyAlignment="1">
      <alignment horizontal="center" vertical="center"/>
    </xf>
    <xf numFmtId="4" fontId="29" fillId="0" borderId="15" xfId="0" applyNumberFormat="1" applyFont="1" applyFill="1" applyBorder="1" applyAlignment="1">
      <alignment horizontal="center" vertical="center" wrapText="1"/>
    </xf>
    <xf numFmtId="4" fontId="29" fillId="0" borderId="16" xfId="0" applyNumberFormat="1" applyFont="1" applyFill="1" applyBorder="1" applyAlignment="1">
      <alignment horizontal="center" vertical="center"/>
    </xf>
    <xf numFmtId="4" fontId="29" fillId="0" borderId="16" xfId="0" applyNumberFormat="1" applyFont="1" applyFill="1" applyBorder="1" applyAlignment="1">
      <alignment horizontal="center" vertical="center" wrapText="1"/>
    </xf>
    <xf numFmtId="4" fontId="29" fillId="0" borderId="15" xfId="0" applyNumberFormat="1" applyFont="1" applyFill="1" applyBorder="1" applyAlignment="1">
      <alignment horizontal="center" vertical="center"/>
    </xf>
    <xf numFmtId="2" fontId="28" fillId="0" borderId="0" xfId="0" applyNumberFormat="1" applyFont="1" applyFill="1" applyAlignment="1">
      <alignment horizontal="right" vertical="center"/>
    </xf>
    <xf numFmtId="0" fontId="42" fillId="0" borderId="0" xfId="0" applyFont="1" applyFill="1" applyAlignment="1"/>
    <xf numFmtId="0" fontId="42" fillId="0" borderId="0" xfId="0" applyFont="1" applyFill="1" applyAlignment="1">
      <alignment horizontal="left"/>
    </xf>
    <xf numFmtId="4" fontId="42" fillId="0" borderId="0" xfId="0" applyNumberFormat="1" applyFont="1" applyFill="1" applyAlignment="1">
      <alignment wrapText="1"/>
    </xf>
    <xf numFmtId="4" fontId="42" fillId="0" borderId="0" xfId="0" applyNumberFormat="1" applyFont="1" applyFill="1"/>
    <xf numFmtId="2" fontId="1" fillId="0" borderId="0" xfId="0" applyNumberFormat="1" applyFont="1" applyFill="1" applyAlignment="1">
      <alignment horizontal="right"/>
    </xf>
    <xf numFmtId="2" fontId="41" fillId="0" borderId="7" xfId="0" applyNumberFormat="1" applyFont="1" applyFill="1" applyBorder="1" applyAlignment="1">
      <alignment wrapText="1"/>
    </xf>
    <xf numFmtId="0" fontId="41" fillId="0" borderId="7" xfId="0" applyFont="1" applyFill="1" applyBorder="1" applyAlignment="1">
      <alignment wrapText="1"/>
    </xf>
    <xf numFmtId="0" fontId="36" fillId="0" borderId="4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horizontal="right" vertical="center" wrapText="1"/>
    </xf>
    <xf numFmtId="190" fontId="25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0" fillId="0" borderId="18" xfId="0" applyFill="1" applyBorder="1" applyAlignment="1">
      <alignment vertical="center"/>
    </xf>
    <xf numFmtId="0" fontId="2" fillId="0" borderId="4" xfId="0" applyFont="1" applyFill="1" applyBorder="1"/>
    <xf numFmtId="0" fontId="2" fillId="0" borderId="19" xfId="0" applyFont="1" applyFill="1" applyBorder="1"/>
    <xf numFmtId="0" fontId="2" fillId="0" borderId="0" xfId="0" applyFont="1" applyFill="1" applyBorder="1"/>
    <xf numFmtId="0" fontId="0" fillId="0" borderId="19" xfId="0" applyFill="1" applyBorder="1" applyAlignment="1">
      <alignment vertical="center" wrapText="1"/>
    </xf>
    <xf numFmtId="0" fontId="36" fillId="0" borderId="19" xfId="0" applyFont="1" applyFill="1" applyBorder="1" applyAlignment="1">
      <alignment wrapText="1"/>
    </xf>
    <xf numFmtId="0" fontId="36" fillId="0" borderId="4" xfId="0" applyFont="1" applyFill="1" applyBorder="1" applyAlignment="1">
      <alignment horizontal="center" wrapText="1"/>
    </xf>
    <xf numFmtId="201" fontId="3" fillId="0" borderId="4" xfId="0" applyNumberFormat="1" applyFont="1" applyFill="1" applyBorder="1"/>
    <xf numFmtId="4" fontId="3" fillId="0" borderId="4" xfId="0" applyNumberFormat="1" applyFont="1" applyFill="1" applyBorder="1"/>
    <xf numFmtId="201" fontId="41" fillId="0" borderId="4" xfId="0" applyNumberFormat="1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right" wrapText="1"/>
    </xf>
    <xf numFmtId="0" fontId="9" fillId="5" borderId="20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/>
    </xf>
    <xf numFmtId="4" fontId="4" fillId="5" borderId="1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0" fontId="0" fillId="0" borderId="0" xfId="0" applyFont="1" applyFill="1" applyBorder="1"/>
    <xf numFmtId="4" fontId="29" fillId="0" borderId="0" xfId="0" applyNumberFormat="1" applyFont="1" applyFill="1"/>
    <xf numFmtId="0" fontId="57" fillId="0" borderId="0" xfId="0" applyFont="1" applyFill="1"/>
    <xf numFmtId="2" fontId="42" fillId="0" borderId="0" xfId="0" applyNumberFormat="1" applyFont="1" applyFill="1" applyAlignment="1"/>
    <xf numFmtId="2" fontId="29" fillId="0" borderId="0" xfId="0" applyNumberFormat="1" applyFont="1" applyFill="1" applyAlignment="1"/>
    <xf numFmtId="0" fontId="36" fillId="0" borderId="4" xfId="0" applyFont="1" applyFill="1" applyBorder="1" applyAlignment="1">
      <alignment vertical="center"/>
    </xf>
    <xf numFmtId="0" fontId="72" fillId="0" borderId="0" xfId="0" applyFont="1" applyFill="1"/>
    <xf numFmtId="0" fontId="57" fillId="0" borderId="0" xfId="0" applyFont="1" applyFill="1" applyBorder="1" applyAlignment="1"/>
    <xf numFmtId="0" fontId="11" fillId="0" borderId="4" xfId="0" applyFont="1" applyFill="1" applyBorder="1" applyAlignment="1">
      <alignment wrapText="1"/>
    </xf>
    <xf numFmtId="0" fontId="1" fillId="0" borderId="4" xfId="0" applyFont="1" applyFill="1" applyBorder="1" applyAlignment="1"/>
    <xf numFmtId="193" fontId="11" fillId="0" borderId="4" xfId="0" applyNumberFormat="1" applyFont="1" applyFill="1" applyBorder="1" applyAlignment="1">
      <alignment wrapText="1"/>
    </xf>
    <xf numFmtId="193" fontId="1" fillId="0" borderId="4" xfId="0" applyNumberFormat="1" applyFont="1" applyFill="1" applyBorder="1"/>
    <xf numFmtId="193" fontId="2" fillId="0" borderId="4" xfId="0" applyNumberFormat="1" applyFont="1" applyFill="1" applyBorder="1"/>
    <xf numFmtId="0" fontId="41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 indent="2"/>
    </xf>
    <xf numFmtId="0" fontId="36" fillId="0" borderId="10" xfId="0" applyFont="1" applyFill="1" applyBorder="1" applyAlignment="1">
      <alignment horizontal="center" wrapText="1"/>
    </xf>
    <xf numFmtId="2" fontId="3" fillId="0" borderId="10" xfId="0" applyNumberFormat="1" applyFont="1" applyFill="1" applyBorder="1"/>
    <xf numFmtId="2" fontId="36" fillId="0" borderId="10" xfId="0" applyNumberFormat="1" applyFont="1" applyFill="1" applyBorder="1" applyAlignment="1">
      <alignment wrapText="1"/>
    </xf>
    <xf numFmtId="0" fontId="36" fillId="0" borderId="10" xfId="0" applyFont="1" applyFill="1" applyBorder="1" applyAlignment="1">
      <alignment wrapText="1"/>
    </xf>
    <xf numFmtId="0" fontId="36" fillId="0" borderId="8" xfId="0" applyFont="1" applyFill="1" applyBorder="1" applyAlignment="1">
      <alignment horizontal="center" wrapText="1"/>
    </xf>
    <xf numFmtId="4" fontId="3" fillId="0" borderId="8" xfId="0" applyNumberFormat="1" applyFont="1" applyFill="1" applyBorder="1"/>
    <xf numFmtId="0" fontId="36" fillId="0" borderId="22" xfId="0" applyFont="1" applyFill="1" applyBorder="1" applyAlignment="1">
      <alignment horizontal="center" wrapText="1"/>
    </xf>
    <xf numFmtId="0" fontId="36" fillId="0" borderId="23" xfId="0" applyFont="1" applyFill="1" applyBorder="1" applyAlignment="1">
      <alignment horizontal="center" wrapText="1"/>
    </xf>
    <xf numFmtId="4" fontId="3" fillId="0" borderId="22" xfId="0" applyNumberFormat="1" applyFont="1" applyFill="1" applyBorder="1"/>
    <xf numFmtId="2" fontId="36" fillId="0" borderId="23" xfId="0" applyNumberFormat="1" applyFont="1" applyFill="1" applyBorder="1" applyAlignment="1">
      <alignment wrapText="1"/>
    </xf>
    <xf numFmtId="203" fontId="3" fillId="0" borderId="22" xfId="0" applyNumberFormat="1" applyFont="1" applyFill="1" applyBorder="1"/>
    <xf numFmtId="203" fontId="36" fillId="0" borderId="24" xfId="0" applyNumberFormat="1" applyFont="1" applyFill="1" applyBorder="1"/>
    <xf numFmtId="0" fontId="36" fillId="0" borderId="25" xfId="0" applyFont="1" applyFill="1" applyBorder="1" applyAlignment="1">
      <alignment wrapText="1"/>
    </xf>
    <xf numFmtId="0" fontId="36" fillId="0" borderId="25" xfId="0" applyFont="1" applyFill="1" applyBorder="1" applyAlignment="1">
      <alignment vertical="center" wrapText="1"/>
    </xf>
    <xf numFmtId="0" fontId="36" fillId="0" borderId="26" xfId="0" applyFont="1" applyFill="1" applyBorder="1" applyAlignment="1">
      <alignment vertical="center" wrapText="1"/>
    </xf>
    <xf numFmtId="203" fontId="36" fillId="0" borderId="8" xfId="0" applyNumberFormat="1" applyFont="1" applyFill="1" applyBorder="1" applyAlignment="1">
      <alignment vertical="center"/>
    </xf>
    <xf numFmtId="202" fontId="36" fillId="0" borderId="4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 indent="2"/>
    </xf>
    <xf numFmtId="190" fontId="25" fillId="0" borderId="11" xfId="0" applyNumberFormat="1" applyFont="1" applyFill="1" applyBorder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190" fontId="36" fillId="0" borderId="4" xfId="0" applyNumberFormat="1" applyFont="1" applyFill="1" applyBorder="1" applyAlignment="1">
      <alignment vertical="center" wrapText="1"/>
    </xf>
    <xf numFmtId="190" fontId="41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190" fontId="0" fillId="0" borderId="4" xfId="0" applyNumberFormat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190" fontId="41" fillId="0" borderId="4" xfId="0" applyNumberFormat="1" applyFont="1" applyFill="1" applyBorder="1" applyAlignment="1">
      <alignment vertical="center" wrapText="1"/>
    </xf>
    <xf numFmtId="190" fontId="41" fillId="0" borderId="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190" fontId="57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36" fillId="0" borderId="7" xfId="0" applyFont="1" applyFill="1" applyBorder="1" applyAlignment="1">
      <alignment vertical="center" wrapText="1"/>
    </xf>
    <xf numFmtId="0" fontId="36" fillId="0" borderId="11" xfId="0" applyFont="1" applyFill="1" applyBorder="1" applyAlignment="1">
      <alignment vertical="center" wrapText="1"/>
    </xf>
    <xf numFmtId="0" fontId="42" fillId="0" borderId="7" xfId="0" applyFont="1" applyFill="1" applyBorder="1" applyAlignment="1">
      <alignment vertical="center" wrapText="1"/>
    </xf>
    <xf numFmtId="0" fontId="42" fillId="0" borderId="11" xfId="0" applyFont="1" applyFill="1" applyBorder="1" applyAlignment="1">
      <alignment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>
      <alignment vertical="center"/>
    </xf>
    <xf numFmtId="2" fontId="36" fillId="0" borderId="4" xfId="0" applyNumberFormat="1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201" fontId="2" fillId="0" borderId="4" xfId="0" applyNumberFormat="1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vertical="center"/>
    </xf>
    <xf numFmtId="2" fontId="0" fillId="0" borderId="4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201" fontId="11" fillId="0" borderId="4" xfId="0" applyNumberFormat="1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vertical="center" wrapText="1"/>
    </xf>
    <xf numFmtId="193" fontId="0" fillId="0" borderId="4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/>
    </xf>
    <xf numFmtId="2" fontId="4" fillId="0" borderId="18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93" fontId="0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36" fillId="0" borderId="4" xfId="0" applyFont="1" applyFill="1" applyBorder="1" applyAlignment="1">
      <alignment horizontal="right" vertical="center" wrapText="1"/>
    </xf>
    <xf numFmtId="2" fontId="28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/>
    </xf>
    <xf numFmtId="49" fontId="4" fillId="5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/>
    <xf numFmtId="49" fontId="5" fillId="0" borderId="0" xfId="0" applyNumberFormat="1" applyFont="1" applyFill="1" applyAlignment="1">
      <alignment horizontal="right" vertical="center" wrapText="1"/>
    </xf>
    <xf numFmtId="49" fontId="3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/>
    <xf numFmtId="49" fontId="9" fillId="0" borderId="27" xfId="0" applyNumberFormat="1" applyFont="1" applyFill="1" applyBorder="1" applyAlignment="1">
      <alignment horizontal="center" wrapText="1"/>
    </xf>
    <xf numFmtId="49" fontId="32" fillId="0" borderId="0" xfId="0" applyNumberFormat="1" applyFont="1" applyFill="1" applyAlignment="1">
      <alignment wrapText="1"/>
    </xf>
    <xf numFmtId="49" fontId="37" fillId="0" borderId="0" xfId="0" applyNumberFormat="1" applyFont="1" applyFill="1"/>
    <xf numFmtId="199" fontId="2" fillId="0" borderId="0" xfId="0" applyNumberFormat="1" applyFont="1" applyFill="1"/>
    <xf numFmtId="0" fontId="28" fillId="0" borderId="15" xfId="0" applyFont="1" applyFill="1" applyBorder="1" applyAlignment="1">
      <alignment horizontal="center" wrapText="1"/>
    </xf>
    <xf numFmtId="2" fontId="4" fillId="5" borderId="10" xfId="0" applyNumberFormat="1" applyFont="1" applyFill="1" applyBorder="1" applyAlignment="1">
      <alignment horizontal="center" vertical="center"/>
    </xf>
    <xf numFmtId="0" fontId="28" fillId="5" borderId="15" xfId="0" applyFont="1" applyFill="1" applyBorder="1" applyAlignment="1">
      <alignment horizontal="center" wrapText="1"/>
    </xf>
    <xf numFmtId="191" fontId="4" fillId="5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/>
    </xf>
    <xf numFmtId="191" fontId="3" fillId="0" borderId="4" xfId="0" applyNumberFormat="1" applyFont="1" applyFill="1" applyBorder="1" applyAlignment="1">
      <alignment horizontal="center" vertical="center"/>
    </xf>
    <xf numFmtId="2" fontId="3" fillId="5" borderId="10" xfId="0" applyNumberFormat="1" applyFont="1" applyFill="1" applyBorder="1" applyAlignment="1">
      <alignment horizontal="center" vertical="center"/>
    </xf>
    <xf numFmtId="2" fontId="4" fillId="5" borderId="10" xfId="0" applyNumberFormat="1" applyFont="1" applyFill="1" applyBorder="1" applyAlignment="1">
      <alignment horizontal="center" vertical="center" wrapText="1"/>
    </xf>
    <xf numFmtId="2" fontId="26" fillId="0" borderId="4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wrapText="1"/>
    </xf>
    <xf numFmtId="1" fontId="4" fillId="5" borderId="4" xfId="0" applyNumberFormat="1" applyFont="1" applyFill="1" applyBorder="1" applyAlignment="1">
      <alignment horizontal="center" wrapText="1"/>
    </xf>
    <xf numFmtId="1" fontId="4" fillId="0" borderId="4" xfId="0" applyNumberFormat="1" applyFont="1" applyFill="1" applyBorder="1" applyAlignment="1">
      <alignment wrapText="1"/>
    </xf>
    <xf numFmtId="191" fontId="4" fillId="0" borderId="4" xfId="0" applyNumberFormat="1" applyFont="1" applyFill="1" applyBorder="1" applyAlignment="1">
      <alignment wrapText="1"/>
    </xf>
    <xf numFmtId="1" fontId="4" fillId="5" borderId="4" xfId="0" applyNumberFormat="1" applyFont="1" applyFill="1" applyBorder="1" applyAlignment="1">
      <alignment wrapText="1"/>
    </xf>
    <xf numFmtId="0" fontId="41" fillId="0" borderId="4" xfId="0" applyFont="1" applyFill="1" applyBorder="1"/>
    <xf numFmtId="0" fontId="28" fillId="0" borderId="28" xfId="0" applyFont="1" applyFill="1" applyBorder="1"/>
    <xf numFmtId="0" fontId="4" fillId="0" borderId="0" xfId="0" applyFont="1" applyFill="1" applyBorder="1"/>
    <xf numFmtId="0" fontId="4" fillId="5" borderId="0" xfId="0" applyFont="1" applyFill="1" applyBorder="1"/>
    <xf numFmtId="191" fontId="4" fillId="0" borderId="0" xfId="0" applyNumberFormat="1" applyFont="1" applyFill="1" applyBorder="1"/>
    <xf numFmtId="0" fontId="41" fillId="0" borderId="0" xfId="0" applyFont="1" applyFill="1" applyBorder="1"/>
    <xf numFmtId="191" fontId="41" fillId="0" borderId="11" xfId="0" applyNumberFormat="1" applyFont="1" applyFill="1" applyBorder="1"/>
    <xf numFmtId="0" fontId="41" fillId="0" borderId="11" xfId="0" applyFont="1" applyFill="1" applyBorder="1"/>
    <xf numFmtId="0" fontId="41" fillId="5" borderId="21" xfId="0" applyFont="1" applyFill="1" applyBorder="1"/>
    <xf numFmtId="0" fontId="4" fillId="5" borderId="10" xfId="0" applyFont="1" applyFill="1" applyBorder="1"/>
    <xf numFmtId="0" fontId="28" fillId="0" borderId="29" xfId="0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2" fontId="4" fillId="5" borderId="7" xfId="0" applyNumberFormat="1" applyFont="1" applyFill="1" applyBorder="1" applyAlignment="1">
      <alignment horizontal="center" vertical="center"/>
    </xf>
    <xf numFmtId="191" fontId="4" fillId="0" borderId="7" xfId="0" applyNumberFormat="1" applyFont="1" applyFill="1" applyBorder="1" applyAlignment="1">
      <alignment horizontal="center" vertical="center"/>
    </xf>
    <xf numFmtId="2" fontId="4" fillId="0" borderId="30" xfId="0" applyNumberFormat="1" applyFont="1" applyFill="1" applyBorder="1" applyAlignment="1">
      <alignment horizontal="center" vertical="center"/>
    </xf>
    <xf numFmtId="2" fontId="4" fillId="5" borderId="30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191" fontId="4" fillId="0" borderId="4" xfId="0" applyNumberFormat="1" applyFont="1" applyFill="1" applyBorder="1" applyAlignment="1">
      <alignment horizontal="center"/>
    </xf>
    <xf numFmtId="2" fontId="4" fillId="5" borderId="4" xfId="0" applyNumberFormat="1" applyFont="1" applyFill="1" applyBorder="1" applyAlignment="1">
      <alignment horizontal="center"/>
    </xf>
    <xf numFmtId="2" fontId="4" fillId="5" borderId="10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left" vertical="center" wrapText="1" indent="2"/>
    </xf>
    <xf numFmtId="0" fontId="1" fillId="0" borderId="0" xfId="0" applyFont="1" applyFill="1" applyAlignment="1">
      <alignment wrapText="1"/>
    </xf>
    <xf numFmtId="4" fontId="28" fillId="0" borderId="4" xfId="0" applyNumberFormat="1" applyFont="1" applyFill="1" applyBorder="1" applyAlignment="1">
      <alignment horizontal="center" vertical="center" wrapText="1"/>
    </xf>
    <xf numFmtId="2" fontId="28" fillId="0" borderId="4" xfId="0" applyNumberFormat="1" applyFont="1" applyFill="1" applyBorder="1" applyAlignment="1">
      <alignment horizontal="center" vertical="center" wrapText="1"/>
    </xf>
    <xf numFmtId="190" fontId="52" fillId="0" borderId="11" xfId="0" applyNumberFormat="1" applyFont="1" applyFill="1" applyBorder="1" applyAlignment="1">
      <alignment vertical="center"/>
    </xf>
    <xf numFmtId="0" fontId="7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4" xfId="0" applyFont="1" applyFill="1" applyBorder="1" applyAlignment="1">
      <alignment wrapText="1"/>
    </xf>
    <xf numFmtId="193" fontId="0" fillId="0" borderId="4" xfId="0" applyNumberFormat="1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193" fontId="25" fillId="0" borderId="4" xfId="0" applyNumberFormat="1" applyFont="1" applyFill="1" applyBorder="1" applyAlignment="1">
      <alignment wrapText="1"/>
    </xf>
    <xf numFmtId="193" fontId="17" fillId="0" borderId="4" xfId="0" applyNumberFormat="1" applyFont="1" applyFill="1" applyBorder="1"/>
    <xf numFmtId="0" fontId="18" fillId="0" borderId="4" xfId="0" applyFont="1" applyFill="1" applyBorder="1" applyAlignment="1"/>
    <xf numFmtId="193" fontId="18" fillId="0" borderId="4" xfId="0" applyNumberFormat="1" applyFont="1" applyFill="1" applyBorder="1"/>
    <xf numFmtId="193" fontId="52" fillId="0" borderId="4" xfId="0" applyNumberFormat="1" applyFont="1" applyFill="1" applyBorder="1" applyAlignment="1">
      <alignment wrapText="1"/>
    </xf>
    <xf numFmtId="0" fontId="52" fillId="0" borderId="4" xfId="0" applyFont="1" applyFill="1" applyBorder="1" applyAlignment="1">
      <alignment wrapText="1"/>
    </xf>
    <xf numFmtId="0" fontId="2" fillId="0" borderId="7" xfId="0" applyFont="1" applyFill="1" applyBorder="1"/>
    <xf numFmtId="0" fontId="11" fillId="0" borderId="7" xfId="0" applyFont="1" applyFill="1" applyBorder="1" applyAlignment="1">
      <alignment wrapText="1"/>
    </xf>
    <xf numFmtId="0" fontId="0" fillId="0" borderId="11" xfId="0" applyFont="1" applyFill="1" applyBorder="1" applyAlignment="1">
      <alignment wrapText="1"/>
    </xf>
    <xf numFmtId="193" fontId="0" fillId="0" borderId="11" xfId="0" applyNumberFormat="1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193" fontId="0" fillId="0" borderId="31" xfId="0" applyNumberFormat="1" applyFont="1" applyFill="1" applyBorder="1" applyAlignment="1">
      <alignment wrapText="1"/>
    </xf>
    <xf numFmtId="193" fontId="0" fillId="0" borderId="32" xfId="0" applyNumberFormat="1" applyFont="1" applyFill="1" applyBorder="1" applyAlignment="1">
      <alignment wrapText="1"/>
    </xf>
    <xf numFmtId="193" fontId="0" fillId="0" borderId="16" xfId="0" applyNumberFormat="1" applyFont="1" applyFill="1" applyBorder="1" applyAlignment="1">
      <alignment wrapText="1"/>
    </xf>
    <xf numFmtId="0" fontId="1" fillId="0" borderId="12" xfId="0" applyFont="1" applyFill="1" applyBorder="1" applyAlignment="1"/>
    <xf numFmtId="193" fontId="1" fillId="0" borderId="12" xfId="0" applyNumberFormat="1" applyFont="1" applyFill="1" applyBorder="1"/>
    <xf numFmtId="193" fontId="11" fillId="0" borderId="12" xfId="0" applyNumberFormat="1" applyFont="1" applyFill="1" applyBorder="1" applyAlignment="1">
      <alignment wrapText="1"/>
    </xf>
    <xf numFmtId="193" fontId="11" fillId="0" borderId="33" xfId="0" applyNumberFormat="1" applyFont="1" applyFill="1" applyBorder="1" applyAlignment="1">
      <alignment wrapText="1"/>
    </xf>
    <xf numFmtId="0" fontId="1" fillId="0" borderId="7" xfId="0" applyFont="1" applyFill="1" applyBorder="1" applyAlignment="1"/>
    <xf numFmtId="193" fontId="2" fillId="0" borderId="7" xfId="0" applyNumberFormat="1" applyFont="1" applyFill="1" applyBorder="1"/>
    <xf numFmtId="193" fontId="11" fillId="0" borderId="7" xfId="0" applyNumberFormat="1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193" fontId="2" fillId="0" borderId="11" xfId="0" applyNumberFormat="1" applyFont="1" applyFill="1" applyBorder="1"/>
    <xf numFmtId="193" fontId="11" fillId="0" borderId="11" xfId="0" applyNumberFormat="1" applyFont="1" applyFill="1" applyBorder="1" applyAlignment="1">
      <alignment wrapText="1"/>
    </xf>
    <xf numFmtId="2" fontId="73" fillId="0" borderId="0" xfId="0" applyNumberFormat="1" applyFont="1" applyFill="1" applyAlignment="1">
      <alignment vertical="center"/>
    </xf>
    <xf numFmtId="0" fontId="9" fillId="0" borderId="33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74" fillId="0" borderId="0" xfId="0" applyFont="1" applyFill="1" applyAlignment="1"/>
    <xf numFmtId="0" fontId="0" fillId="0" borderId="15" xfId="0" applyFill="1" applyBorder="1" applyAlignment="1">
      <alignment horizontal="center" vertical="center" wrapText="1"/>
    </xf>
    <xf numFmtId="201" fontId="2" fillId="0" borderId="15" xfId="0" applyNumberFormat="1" applyFont="1" applyFill="1" applyBorder="1" applyAlignment="1">
      <alignment vertical="center"/>
    </xf>
    <xf numFmtId="2" fontId="2" fillId="0" borderId="16" xfId="0" applyNumberFormat="1" applyFont="1" applyFill="1" applyBorder="1" applyAlignment="1">
      <alignment vertical="center"/>
    </xf>
    <xf numFmtId="2" fontId="0" fillId="0" borderId="16" xfId="0" applyNumberFormat="1" applyFont="1" applyFill="1" applyBorder="1" applyAlignment="1">
      <alignment vertical="center" wrapText="1"/>
    </xf>
    <xf numFmtId="201" fontId="11" fillId="0" borderId="17" xfId="0" applyNumberFormat="1" applyFont="1" applyFill="1" applyBorder="1" applyAlignment="1">
      <alignment vertical="center" wrapText="1"/>
    </xf>
    <xf numFmtId="201" fontId="11" fillId="0" borderId="12" xfId="0" applyNumberFormat="1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4" fontId="2" fillId="0" borderId="15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204" fontId="17" fillId="0" borderId="12" xfId="5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32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5" fillId="0" borderId="0" xfId="0" applyFont="1" applyFill="1" applyBorder="1"/>
    <xf numFmtId="2" fontId="35" fillId="0" borderId="20" xfId="0" applyNumberFormat="1" applyFont="1" applyFill="1" applyBorder="1" applyAlignment="1">
      <alignment horizontal="center" vertical="center"/>
    </xf>
    <xf numFmtId="2" fontId="35" fillId="0" borderId="34" xfId="0" applyNumberFormat="1" applyFont="1" applyFill="1" applyBorder="1" applyAlignment="1">
      <alignment horizontal="center" vertical="center" wrapText="1"/>
    </xf>
    <xf numFmtId="4" fontId="35" fillId="0" borderId="34" xfId="0" applyNumberFormat="1" applyFont="1" applyFill="1" applyBorder="1" applyAlignment="1">
      <alignment horizontal="center" vertical="center" wrapText="1"/>
    </xf>
    <xf numFmtId="4" fontId="35" fillId="0" borderId="8" xfId="0" applyNumberFormat="1" applyFont="1" applyFill="1" applyBorder="1" applyAlignment="1">
      <alignment horizontal="center" vertical="center" wrapText="1"/>
    </xf>
    <xf numFmtId="4" fontId="29" fillId="0" borderId="8" xfId="0" applyNumberFormat="1" applyFont="1" applyFill="1" applyBorder="1" applyAlignment="1">
      <alignment horizontal="center" vertical="center" wrapText="1"/>
    </xf>
    <xf numFmtId="49" fontId="35" fillId="0" borderId="35" xfId="0" applyNumberFormat="1" applyFont="1" applyFill="1" applyBorder="1" applyAlignment="1">
      <alignment horizontal="center" wrapText="1"/>
    </xf>
    <xf numFmtId="4" fontId="29" fillId="0" borderId="34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29" fillId="0" borderId="36" xfId="0" applyNumberFormat="1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>
      <alignment horizontal="center" vertical="center" wrapText="1"/>
    </xf>
    <xf numFmtId="0" fontId="44" fillId="0" borderId="0" xfId="0" applyFont="1" applyFill="1" applyAlignment="1">
      <alignment wrapText="1"/>
    </xf>
    <xf numFmtId="2" fontId="42" fillId="0" borderId="0" xfId="0" applyNumberFormat="1" applyFont="1" applyFill="1"/>
    <xf numFmtId="4" fontId="28" fillId="0" borderId="8" xfId="0" applyNumberFormat="1" applyFont="1" applyFill="1" applyBorder="1" applyAlignment="1">
      <alignment horizontal="center" vertical="center" wrapText="1"/>
    </xf>
    <xf numFmtId="2" fontId="28" fillId="0" borderId="37" xfId="0" applyNumberFormat="1" applyFont="1" applyFill="1" applyBorder="1" applyAlignment="1">
      <alignment horizontal="center" vertical="center"/>
    </xf>
    <xf numFmtId="2" fontId="28" fillId="0" borderId="38" xfId="0" applyNumberFormat="1" applyFont="1" applyFill="1" applyBorder="1" applyAlignment="1">
      <alignment horizontal="center" vertical="center"/>
    </xf>
    <xf numFmtId="2" fontId="28" fillId="0" borderId="39" xfId="0" applyNumberFormat="1" applyFont="1" applyFill="1" applyBorder="1" applyAlignment="1">
      <alignment horizontal="center" vertical="center"/>
    </xf>
    <xf numFmtId="4" fontId="28" fillId="0" borderId="34" xfId="0" applyNumberFormat="1" applyFont="1" applyFill="1" applyBorder="1" applyAlignment="1">
      <alignment horizontal="center" vertical="center" wrapText="1"/>
    </xf>
    <xf numFmtId="4" fontId="7" fillId="0" borderId="34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35" fillId="0" borderId="21" xfId="0" applyFont="1" applyFill="1" applyBorder="1"/>
    <xf numFmtId="0" fontId="29" fillId="0" borderId="40" xfId="0" applyFont="1" applyFill="1" applyBorder="1" applyAlignment="1">
      <alignment wrapText="1"/>
    </xf>
    <xf numFmtId="49" fontId="29" fillId="0" borderId="40" xfId="0" applyNumberFormat="1" applyFont="1" applyFill="1" applyBorder="1" applyAlignment="1">
      <alignment horizontal="center" vertical="center" wrapText="1"/>
    </xf>
    <xf numFmtId="49" fontId="35" fillId="0" borderId="40" xfId="0" applyNumberFormat="1" applyFont="1" applyFill="1" applyBorder="1" applyAlignment="1">
      <alignment horizontal="center" vertical="center" wrapText="1"/>
    </xf>
    <xf numFmtId="2" fontId="28" fillId="0" borderId="41" xfId="0" applyNumberFormat="1" applyFont="1" applyFill="1" applyBorder="1" applyAlignment="1">
      <alignment horizontal="center" vertical="center"/>
    </xf>
    <xf numFmtId="4" fontId="7" fillId="0" borderId="36" xfId="0" applyNumberFormat="1" applyFont="1" applyFill="1" applyBorder="1" applyAlignment="1">
      <alignment horizontal="center" vertical="center" wrapText="1"/>
    </xf>
    <xf numFmtId="2" fontId="28" fillId="0" borderId="36" xfId="0" applyNumberFormat="1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right"/>
    </xf>
    <xf numFmtId="0" fontId="27" fillId="0" borderId="20" xfId="0" applyFont="1" applyFill="1" applyBorder="1" applyAlignment="1">
      <alignment horizontal="center" vertical="center" wrapText="1"/>
    </xf>
    <xf numFmtId="0" fontId="27" fillId="0" borderId="43" xfId="0" applyNumberFormat="1" applyFont="1" applyFill="1" applyBorder="1" applyAlignment="1">
      <alignment horizontal="center" wrapText="1"/>
    </xf>
    <xf numFmtId="0" fontId="9" fillId="0" borderId="44" xfId="0" applyNumberFormat="1" applyFont="1" applyFill="1" applyBorder="1" applyAlignment="1">
      <alignment horizontal="center" wrapText="1"/>
    </xf>
    <xf numFmtId="0" fontId="9" fillId="0" borderId="45" xfId="0" applyNumberFormat="1" applyFont="1" applyFill="1" applyBorder="1" applyAlignment="1">
      <alignment horizontal="center" wrapText="1"/>
    </xf>
    <xf numFmtId="0" fontId="27" fillId="0" borderId="45" xfId="0" applyNumberFormat="1" applyFont="1" applyFill="1" applyBorder="1" applyAlignment="1">
      <alignment horizontal="center" wrapText="1"/>
    </xf>
    <xf numFmtId="0" fontId="27" fillId="0" borderId="46" xfId="0" applyNumberFormat="1" applyFont="1" applyFill="1" applyBorder="1" applyAlignment="1">
      <alignment horizontal="center" wrapText="1"/>
    </xf>
    <xf numFmtId="0" fontId="27" fillId="0" borderId="47" xfId="0" applyNumberFormat="1" applyFont="1" applyFill="1" applyBorder="1" applyAlignment="1">
      <alignment horizontal="center" wrapText="1"/>
    </xf>
    <xf numFmtId="4" fontId="28" fillId="0" borderId="48" xfId="0" applyNumberFormat="1" applyFont="1" applyFill="1" applyBorder="1" applyAlignment="1">
      <alignment horizontal="center" vertical="center" wrapText="1"/>
    </xf>
    <xf numFmtId="0" fontId="9" fillId="0" borderId="46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vertical="center"/>
    </xf>
    <xf numFmtId="0" fontId="60" fillId="0" borderId="0" xfId="0" applyFont="1" applyFill="1" applyBorder="1" applyAlignment="1">
      <alignment vertical="center"/>
    </xf>
    <xf numFmtId="49" fontId="28" fillId="0" borderId="40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0" fontId="35" fillId="0" borderId="40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vertical="center"/>
    </xf>
    <xf numFmtId="0" fontId="42" fillId="0" borderId="0" xfId="0" applyFont="1" applyFill="1" applyAlignment="1">
      <alignment vertical="center" wrapText="1"/>
    </xf>
    <xf numFmtId="4" fontId="35" fillId="0" borderId="36" xfId="0" applyNumberFormat="1" applyFont="1" applyFill="1" applyBorder="1" applyAlignment="1">
      <alignment horizontal="center" vertical="center" wrapText="1"/>
    </xf>
    <xf numFmtId="4" fontId="50" fillId="0" borderId="4" xfId="0" applyNumberFormat="1" applyFont="1" applyFill="1" applyBorder="1" applyAlignment="1">
      <alignment horizontal="center" vertical="center" wrapText="1"/>
    </xf>
    <xf numFmtId="49" fontId="35" fillId="0" borderId="49" xfId="0" applyNumberFormat="1" applyFont="1" applyFill="1" applyBorder="1" applyAlignment="1">
      <alignment horizontal="center" vertical="center" wrapText="1"/>
    </xf>
    <xf numFmtId="49" fontId="29" fillId="0" borderId="49" xfId="0" applyNumberFormat="1" applyFont="1" applyFill="1" applyBorder="1" applyAlignment="1">
      <alignment horizontal="center" vertical="center" wrapText="1"/>
    </xf>
    <xf numFmtId="2" fontId="42" fillId="0" borderId="0" xfId="0" applyNumberFormat="1" applyFont="1" applyFill="1" applyAlignment="1">
      <alignment vertical="center"/>
    </xf>
    <xf numFmtId="4" fontId="29" fillId="0" borderId="0" xfId="0" applyNumberFormat="1" applyFont="1" applyFill="1" applyAlignment="1">
      <alignment vertical="center" wrapText="1"/>
    </xf>
    <xf numFmtId="4" fontId="42" fillId="0" borderId="0" xfId="0" applyNumberFormat="1" applyFont="1" applyFill="1" applyAlignment="1">
      <alignment vertical="center" wrapText="1"/>
    </xf>
    <xf numFmtId="0" fontId="61" fillId="0" borderId="4" xfId="0" applyNumberFormat="1" applyFont="1" applyFill="1" applyBorder="1" applyAlignment="1">
      <alignment horizontal="center" wrapText="1"/>
    </xf>
    <xf numFmtId="0" fontId="62" fillId="0" borderId="0" xfId="0" applyFont="1" applyFill="1" applyAlignment="1">
      <alignment wrapText="1"/>
    </xf>
    <xf numFmtId="0" fontId="62" fillId="0" borderId="0" xfId="0" applyFont="1" applyFill="1"/>
    <xf numFmtId="0" fontId="28" fillId="0" borderId="0" xfId="0" applyFont="1" applyFill="1" applyBorder="1" applyAlignment="1"/>
    <xf numFmtId="0" fontId="27" fillId="0" borderId="34" xfId="0" applyFont="1" applyFill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27" fillId="0" borderId="34" xfId="0" applyNumberFormat="1" applyFont="1" applyFill="1" applyBorder="1" applyAlignment="1">
      <alignment horizontal="center" wrapText="1"/>
    </xf>
    <xf numFmtId="0" fontId="27" fillId="0" borderId="36" xfId="0" applyNumberFormat="1" applyFont="1" applyFill="1" applyBorder="1" applyAlignment="1">
      <alignment horizontal="center" wrapText="1"/>
    </xf>
    <xf numFmtId="4" fontId="61" fillId="0" borderId="34" xfId="0" applyNumberFormat="1" applyFont="1" applyFill="1" applyBorder="1" applyAlignment="1">
      <alignment horizontal="center" vertical="center" wrapText="1"/>
    </xf>
    <xf numFmtId="0" fontId="61" fillId="0" borderId="36" xfId="0" applyNumberFormat="1" applyFont="1" applyFill="1" applyBorder="1" applyAlignment="1">
      <alignment horizontal="center" wrapText="1"/>
    </xf>
    <xf numFmtId="2" fontId="47" fillId="0" borderId="34" xfId="0" applyNumberFormat="1" applyFont="1" applyFill="1" applyBorder="1" applyAlignment="1">
      <alignment horizontal="center" vertical="center" wrapText="1"/>
    </xf>
    <xf numFmtId="4" fontId="47" fillId="0" borderId="36" xfId="0" applyNumberFormat="1" applyFont="1" applyFill="1" applyBorder="1" applyAlignment="1">
      <alignment horizontal="center" vertical="center" wrapText="1"/>
    </xf>
    <xf numFmtId="2" fontId="35" fillId="0" borderId="36" xfId="0" applyNumberFormat="1" applyFont="1" applyFill="1" applyBorder="1" applyAlignment="1">
      <alignment horizontal="center" vertical="center" wrapText="1"/>
    </xf>
    <xf numFmtId="0" fontId="27" fillId="0" borderId="40" xfId="0" applyNumberFormat="1" applyFont="1" applyFill="1" applyBorder="1" applyAlignment="1">
      <alignment horizontal="center" vertical="center" wrapText="1"/>
    </xf>
    <xf numFmtId="0" fontId="27" fillId="0" borderId="40" xfId="0" applyNumberFormat="1" applyFont="1" applyFill="1" applyBorder="1" applyAlignment="1">
      <alignment horizontal="center" wrapText="1"/>
    </xf>
    <xf numFmtId="0" fontId="61" fillId="0" borderId="40" xfId="0" applyNumberFormat="1" applyFont="1" applyFill="1" applyBorder="1" applyAlignment="1">
      <alignment horizontal="center" vertical="center" wrapText="1"/>
    </xf>
    <xf numFmtId="0" fontId="61" fillId="0" borderId="40" xfId="0" applyNumberFormat="1" applyFont="1" applyFill="1" applyBorder="1" applyAlignment="1">
      <alignment horizontal="left" wrapText="1"/>
    </xf>
    <xf numFmtId="0" fontId="47" fillId="0" borderId="40" xfId="0" applyFont="1" applyFill="1" applyBorder="1" applyAlignment="1">
      <alignment horizontal="center" vertical="center" wrapText="1"/>
    </xf>
    <xf numFmtId="0" fontId="47" fillId="0" borderId="40" xfId="0" applyFont="1" applyBorder="1" applyAlignment="1">
      <alignment vertical="center" wrapText="1"/>
    </xf>
    <xf numFmtId="0" fontId="35" fillId="0" borderId="40" xfId="0" applyFont="1" applyFill="1" applyBorder="1" applyAlignment="1">
      <alignment horizontal="left" vertical="center" wrapText="1"/>
    </xf>
    <xf numFmtId="0" fontId="76" fillId="0" borderId="40" xfId="0" applyFont="1" applyBorder="1" applyAlignment="1">
      <alignment wrapText="1"/>
    </xf>
    <xf numFmtId="0" fontId="77" fillId="0" borderId="40" xfId="0" applyFont="1" applyBorder="1" applyAlignment="1">
      <alignment wrapText="1"/>
    </xf>
    <xf numFmtId="0" fontId="29" fillId="0" borderId="40" xfId="0" applyNumberFormat="1" applyFont="1" applyFill="1" applyBorder="1" applyAlignment="1">
      <alignment horizontal="center" vertical="center" wrapText="1"/>
    </xf>
    <xf numFmtId="0" fontId="77" fillId="0" borderId="40" xfId="0" applyFont="1" applyBorder="1" applyAlignment="1">
      <alignment vertical="center" wrapText="1"/>
    </xf>
    <xf numFmtId="0" fontId="35" fillId="0" borderId="4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/>
    <xf numFmtId="0" fontId="77" fillId="0" borderId="40" xfId="0" applyFont="1" applyBorder="1" applyAlignment="1">
      <alignment horizontal="left" wrapText="1" indent="2"/>
    </xf>
    <xf numFmtId="49" fontId="29" fillId="0" borderId="50" xfId="0" applyNumberFormat="1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left" vertical="center" wrapText="1"/>
    </xf>
    <xf numFmtId="2" fontId="29" fillId="0" borderId="51" xfId="0" applyNumberFormat="1" applyFont="1" applyFill="1" applyBorder="1" applyAlignment="1">
      <alignment horizontal="center" vertical="center" wrapText="1"/>
    </xf>
    <xf numFmtId="2" fontId="29" fillId="0" borderId="52" xfId="0" applyNumberFormat="1" applyFont="1" applyFill="1" applyBorder="1" applyAlignment="1">
      <alignment horizontal="center" vertical="center" wrapText="1"/>
    </xf>
    <xf numFmtId="1" fontId="29" fillId="0" borderId="52" xfId="0" applyNumberFormat="1" applyFont="1" applyFill="1" applyBorder="1" applyAlignment="1">
      <alignment horizontal="center" vertical="center" wrapText="1"/>
    </xf>
    <xf numFmtId="1" fontId="29" fillId="0" borderId="53" xfId="0" applyNumberFormat="1" applyFont="1" applyFill="1" applyBorder="1" applyAlignment="1">
      <alignment horizontal="center" vertical="center" wrapText="1"/>
    </xf>
    <xf numFmtId="0" fontId="78" fillId="0" borderId="40" xfId="0" applyFont="1" applyBorder="1" applyAlignment="1">
      <alignment vertical="center" wrapText="1"/>
    </xf>
    <xf numFmtId="0" fontId="79" fillId="0" borderId="40" xfId="0" applyFont="1" applyBorder="1" applyAlignment="1">
      <alignment vertical="center" wrapText="1"/>
    </xf>
    <xf numFmtId="49" fontId="35" fillId="6" borderId="40" xfId="0" applyNumberFormat="1" applyFont="1" applyFill="1" applyBorder="1" applyAlignment="1">
      <alignment horizontal="center" vertical="center" wrapText="1"/>
    </xf>
    <xf numFmtId="0" fontId="79" fillId="6" borderId="40" xfId="0" applyFont="1" applyFill="1" applyBorder="1" applyAlignment="1">
      <alignment vertical="center" wrapText="1"/>
    </xf>
    <xf numFmtId="4" fontId="35" fillId="6" borderId="34" xfId="0" applyNumberFormat="1" applyFont="1" applyFill="1" applyBorder="1" applyAlignment="1">
      <alignment horizontal="center" vertical="center" wrapText="1"/>
    </xf>
    <xf numFmtId="2" fontId="35" fillId="6" borderId="4" xfId="0" applyNumberFormat="1" applyFont="1" applyFill="1" applyBorder="1" applyAlignment="1">
      <alignment horizontal="center" vertical="center" wrapText="1"/>
    </xf>
    <xf numFmtId="4" fontId="35" fillId="6" borderId="4" xfId="0" applyNumberFormat="1" applyFont="1" applyFill="1" applyBorder="1" applyAlignment="1">
      <alignment horizontal="center" vertical="center" wrapText="1"/>
    </xf>
    <xf numFmtId="4" fontId="35" fillId="6" borderId="36" xfId="0" applyNumberFormat="1" applyFont="1" applyFill="1" applyBorder="1" applyAlignment="1">
      <alignment horizontal="center" vertical="center" wrapText="1"/>
    </xf>
    <xf numFmtId="2" fontId="28" fillId="6" borderId="4" xfId="0" applyNumberFormat="1" applyFont="1" applyFill="1" applyBorder="1" applyAlignment="1">
      <alignment horizontal="center" vertical="center" wrapText="1"/>
    </xf>
    <xf numFmtId="2" fontId="28" fillId="6" borderId="36" xfId="0" applyNumberFormat="1" applyFont="1" applyFill="1" applyBorder="1" applyAlignment="1">
      <alignment horizontal="center" vertical="center" wrapText="1"/>
    </xf>
    <xf numFmtId="0" fontId="35" fillId="6" borderId="40" xfId="0" applyFont="1" applyFill="1" applyBorder="1" applyAlignment="1">
      <alignment vertical="top" wrapText="1"/>
    </xf>
    <xf numFmtId="0" fontId="35" fillId="0" borderId="54" xfId="0" applyFont="1" applyFill="1" applyBorder="1" applyAlignment="1">
      <alignment horizontal="center" vertical="center" wrapText="1"/>
    </xf>
    <xf numFmtId="0" fontId="35" fillId="0" borderId="49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indent="4"/>
    </xf>
    <xf numFmtId="0" fontId="29" fillId="0" borderId="40" xfId="0" applyFont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right" vertical="center"/>
    </xf>
    <xf numFmtId="0" fontId="28" fillId="0" borderId="0" xfId="0" applyFont="1" applyFill="1" applyAlignment="1">
      <alignment horizontal="right" vertical="center"/>
    </xf>
    <xf numFmtId="49" fontId="29" fillId="0" borderId="35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left" vertical="center"/>
    </xf>
    <xf numFmtId="2" fontId="29" fillId="0" borderId="0" xfId="0" applyNumberFormat="1" applyFont="1" applyFill="1" applyBorder="1" applyAlignment="1">
      <alignment horizontal="center" vertical="center"/>
    </xf>
    <xf numFmtId="4" fontId="7" fillId="0" borderId="16" xfId="0" applyNumberFormat="1" applyFont="1" applyFill="1" applyBorder="1" applyAlignment="1">
      <alignment horizontal="center" vertical="center"/>
    </xf>
    <xf numFmtId="4" fontId="7" fillId="0" borderId="15" xfId="0" applyNumberFormat="1" applyFont="1" applyFill="1" applyBorder="1" applyAlignment="1">
      <alignment horizontal="center" vertical="center"/>
    </xf>
    <xf numFmtId="4" fontId="28" fillId="0" borderId="16" xfId="0" applyNumberFormat="1" applyFont="1" applyFill="1" applyBorder="1" applyAlignment="1">
      <alignment horizontal="center" vertical="center"/>
    </xf>
    <xf numFmtId="4" fontId="28" fillId="0" borderId="15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/>
    <xf numFmtId="2" fontId="29" fillId="0" borderId="16" xfId="0" applyNumberFormat="1" applyFont="1" applyFill="1" applyBorder="1" applyAlignment="1">
      <alignment horizontal="center" vertical="center" wrapText="1"/>
    </xf>
    <xf numFmtId="4" fontId="29" fillId="0" borderId="8" xfId="0" applyNumberFormat="1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 wrapText="1"/>
    </xf>
    <xf numFmtId="0" fontId="65" fillId="0" borderId="4" xfId="10" applyFont="1" applyFill="1" applyBorder="1" applyAlignment="1" applyProtection="1">
      <alignment horizontal="center" vertical="center" wrapText="1"/>
      <protection locked="0"/>
    </xf>
    <xf numFmtId="4" fontId="29" fillId="0" borderId="55" xfId="0" applyNumberFormat="1" applyFont="1" applyFill="1" applyBorder="1" applyAlignment="1">
      <alignment horizontal="center" vertical="center" wrapText="1"/>
    </xf>
    <xf numFmtId="0" fontId="65" fillId="0" borderId="8" xfId="10" applyFont="1" applyFill="1" applyBorder="1" applyAlignment="1" applyProtection="1">
      <alignment horizontal="center" vertical="center" wrapText="1"/>
      <protection locked="0"/>
    </xf>
    <xf numFmtId="0" fontId="35" fillId="0" borderId="4" xfId="0" applyFont="1" applyFill="1" applyBorder="1" applyAlignment="1">
      <alignment vertical="center" wrapText="1"/>
    </xf>
    <xf numFmtId="4" fontId="35" fillId="0" borderId="4" xfId="0" applyNumberFormat="1" applyFont="1" applyFill="1" applyBorder="1" applyAlignment="1">
      <alignment horizontal="center" vertical="center"/>
    </xf>
    <xf numFmtId="4" fontId="29" fillId="0" borderId="4" xfId="0" applyNumberFormat="1" applyFont="1" applyFill="1" applyBorder="1" applyAlignment="1">
      <alignment horizontal="center" vertical="center"/>
    </xf>
    <xf numFmtId="4" fontId="32" fillId="0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28" fillId="0" borderId="4" xfId="0" applyNumberFormat="1" applyFont="1" applyFill="1" applyBorder="1" applyAlignment="1">
      <alignment horizontal="center" vertical="center"/>
    </xf>
    <xf numFmtId="0" fontId="65" fillId="0" borderId="15" xfId="10" applyFont="1" applyFill="1" applyBorder="1" applyAlignment="1" applyProtection="1">
      <alignment horizontal="center" vertical="center" wrapText="1"/>
      <protection locked="0"/>
    </xf>
    <xf numFmtId="4" fontId="29" fillId="0" borderId="56" xfId="0" applyNumberFormat="1" applyFont="1" applyFill="1" applyBorder="1" applyAlignment="1">
      <alignment horizontal="center" vertical="center"/>
    </xf>
    <xf numFmtId="4" fontId="29" fillId="0" borderId="56" xfId="0" applyNumberFormat="1" applyFont="1" applyFill="1" applyBorder="1" applyAlignment="1">
      <alignment horizontal="center" vertical="center" wrapText="1"/>
    </xf>
    <xf numFmtId="4" fontId="35" fillId="0" borderId="16" xfId="0" applyNumberFormat="1" applyFont="1" applyFill="1" applyBorder="1" applyAlignment="1">
      <alignment horizontal="center" vertical="center" wrapText="1"/>
    </xf>
    <xf numFmtId="4" fontId="29" fillId="0" borderId="17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2" fontId="35" fillId="0" borderId="4" xfId="0" applyNumberFormat="1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vertical="center" wrapText="1"/>
    </xf>
    <xf numFmtId="0" fontId="35" fillId="0" borderId="12" xfId="0" applyFont="1" applyFill="1" applyBorder="1" applyAlignment="1">
      <alignment horizontal="left" vertical="center"/>
    </xf>
    <xf numFmtId="2" fontId="35" fillId="0" borderId="12" xfId="0" applyNumberFormat="1" applyFont="1" applyFill="1" applyBorder="1" applyAlignment="1">
      <alignment horizontal="center" vertical="center"/>
    </xf>
    <xf numFmtId="2" fontId="35" fillId="0" borderId="33" xfId="0" applyNumberFormat="1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 wrapText="1"/>
    </xf>
    <xf numFmtId="4" fontId="35" fillId="0" borderId="12" xfId="0" applyNumberFormat="1" applyFont="1" applyFill="1" applyBorder="1" applyAlignment="1">
      <alignment horizontal="center" vertical="center"/>
    </xf>
    <xf numFmtId="4" fontId="35" fillId="0" borderId="33" xfId="0" applyNumberFormat="1" applyFont="1" applyFill="1" applyBorder="1" applyAlignment="1">
      <alignment horizontal="center" vertical="center"/>
    </xf>
    <xf numFmtId="4" fontId="35" fillId="7" borderId="4" xfId="0" applyNumberFormat="1" applyFont="1" applyFill="1" applyBorder="1" applyAlignment="1">
      <alignment horizontal="center" vertical="center" wrapText="1"/>
    </xf>
    <xf numFmtId="4" fontId="35" fillId="0" borderId="17" xfId="0" applyNumberFormat="1" applyFont="1" applyFill="1" applyBorder="1" applyAlignment="1">
      <alignment horizontal="center" vertical="center"/>
    </xf>
    <xf numFmtId="4" fontId="35" fillId="0" borderId="15" xfId="0" applyNumberFormat="1" applyFont="1" applyFill="1" applyBorder="1" applyAlignment="1">
      <alignment horizontal="center" vertical="center" wrapText="1"/>
    </xf>
    <xf numFmtId="4" fontId="29" fillId="0" borderId="58" xfId="0" applyNumberFormat="1" applyFont="1" applyFill="1" applyBorder="1" applyAlignment="1">
      <alignment horizontal="center" vertical="center" wrapText="1"/>
    </xf>
    <xf numFmtId="4" fontId="28" fillId="0" borderId="8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27" fillId="0" borderId="59" xfId="0" applyNumberFormat="1" applyFont="1" applyFill="1" applyBorder="1" applyAlignment="1">
      <alignment horizontal="center" wrapText="1"/>
    </xf>
    <xf numFmtId="0" fontId="9" fillId="0" borderId="59" xfId="0" applyNumberFormat="1" applyFont="1" applyFill="1" applyBorder="1" applyAlignment="1">
      <alignment horizontal="center" wrapText="1"/>
    </xf>
    <xf numFmtId="0" fontId="27" fillId="0" borderId="44" xfId="0" applyNumberFormat="1" applyFont="1" applyFill="1" applyBorder="1" applyAlignment="1">
      <alignment horizontal="center" wrapText="1"/>
    </xf>
    <xf numFmtId="4" fontId="29" fillId="0" borderId="17" xfId="0" applyNumberFormat="1" applyFont="1" applyFill="1" applyBorder="1" applyAlignment="1">
      <alignment vertical="center" wrapText="1"/>
    </xf>
    <xf numFmtId="4" fontId="29" fillId="0" borderId="12" xfId="0" applyNumberFormat="1" applyFont="1" applyFill="1" applyBorder="1" applyAlignment="1">
      <alignment vertical="center" wrapText="1"/>
    </xf>
    <xf numFmtId="4" fontId="29" fillId="0" borderId="33" xfId="0" applyNumberFormat="1" applyFont="1" applyFill="1" applyBorder="1" applyAlignment="1">
      <alignment vertical="center" wrapText="1"/>
    </xf>
    <xf numFmtId="4" fontId="7" fillId="0" borderId="56" xfId="0" applyNumberFormat="1" applyFont="1" applyFill="1" applyBorder="1" applyAlignment="1">
      <alignment horizontal="center" vertical="center" wrapText="1"/>
    </xf>
    <xf numFmtId="4" fontId="28" fillId="0" borderId="56" xfId="0" applyNumberFormat="1" applyFont="1" applyFill="1" applyBorder="1" applyAlignment="1">
      <alignment horizontal="center" vertical="center" wrapText="1"/>
    </xf>
    <xf numFmtId="4" fontId="28" fillId="0" borderId="11" xfId="0" applyNumberFormat="1" applyFont="1" applyFill="1" applyBorder="1" applyAlignment="1">
      <alignment horizontal="center" vertical="center" wrapText="1"/>
    </xf>
    <xf numFmtId="0" fontId="35" fillId="0" borderId="60" xfId="0" applyFont="1" applyFill="1" applyBorder="1"/>
    <xf numFmtId="0" fontId="35" fillId="0" borderId="15" xfId="0" applyFont="1" applyFill="1" applyBorder="1" applyAlignment="1">
      <alignment wrapText="1"/>
    </xf>
    <xf numFmtId="0" fontId="35" fillId="0" borderId="4" xfId="0" applyFont="1" applyFill="1" applyBorder="1" applyAlignment="1">
      <alignment wrapText="1"/>
    </xf>
    <xf numFmtId="1" fontId="35" fillId="0" borderId="4" xfId="0" applyNumberFormat="1" applyFont="1" applyFill="1" applyBorder="1" applyAlignment="1">
      <alignment horizontal="center" wrapText="1"/>
    </xf>
    <xf numFmtId="0" fontId="35" fillId="0" borderId="15" xfId="0" applyFont="1" applyFill="1" applyBorder="1"/>
    <xf numFmtId="0" fontId="35" fillId="0" borderId="4" xfId="0" applyFont="1" applyFill="1" applyBorder="1"/>
    <xf numFmtId="0" fontId="35" fillId="0" borderId="17" xfId="0" applyFont="1" applyFill="1" applyBorder="1"/>
    <xf numFmtId="0" fontId="35" fillId="0" borderId="12" xfId="0" applyFont="1" applyFill="1" applyBorder="1"/>
    <xf numFmtId="2" fontId="29" fillId="0" borderId="4" xfId="0" applyNumberFormat="1" applyFont="1" applyFill="1" applyBorder="1" applyAlignment="1">
      <alignment horizontal="center" vertical="center"/>
    </xf>
    <xf numFmtId="1" fontId="35" fillId="0" borderId="4" xfId="0" applyNumberFormat="1" applyFont="1" applyFill="1" applyBorder="1" applyAlignment="1">
      <alignment wrapText="1"/>
    </xf>
    <xf numFmtId="0" fontId="44" fillId="0" borderId="4" xfId="0" applyFont="1" applyFill="1" applyBorder="1"/>
    <xf numFmtId="4" fontId="35" fillId="0" borderId="4" xfId="0" applyNumberFormat="1" applyFont="1" applyFill="1" applyBorder="1" applyAlignment="1">
      <alignment wrapText="1"/>
    </xf>
    <xf numFmtId="2" fontId="35" fillId="0" borderId="61" xfId="0" applyNumberFormat="1" applyFont="1" applyFill="1" applyBorder="1" applyAlignment="1">
      <alignment horizontal="center" vertical="center"/>
    </xf>
    <xf numFmtId="2" fontId="35" fillId="0" borderId="31" xfId="0" applyNumberFormat="1" applyFont="1" applyFill="1" applyBorder="1" applyAlignment="1">
      <alignment horizontal="center" vertical="center"/>
    </xf>
    <xf numFmtId="2" fontId="35" fillId="0" borderId="32" xfId="0" applyNumberFormat="1" applyFont="1" applyFill="1" applyBorder="1" applyAlignment="1">
      <alignment horizontal="center" vertical="center"/>
    </xf>
    <xf numFmtId="2" fontId="7" fillId="0" borderId="16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vertical="center" wrapText="1"/>
    </xf>
    <xf numFmtId="2" fontId="35" fillId="0" borderId="62" xfId="0" applyNumberFormat="1" applyFont="1" applyFill="1" applyBorder="1" applyAlignment="1">
      <alignment horizontal="center" vertical="center"/>
    </xf>
    <xf numFmtId="0" fontId="67" fillId="0" borderId="0" xfId="0" applyFont="1" applyFill="1"/>
    <xf numFmtId="2" fontId="63" fillId="0" borderId="0" xfId="0" applyNumberFormat="1" applyFont="1" applyFill="1" applyBorder="1" applyAlignment="1">
      <alignment horizontal="center" wrapText="1"/>
    </xf>
    <xf numFmtId="2" fontId="63" fillId="0" borderId="0" xfId="0" applyNumberFormat="1" applyFont="1" applyFill="1" applyBorder="1" applyAlignment="1">
      <alignment horizontal="center" vertical="center" wrapText="1"/>
    </xf>
    <xf numFmtId="0" fontId="68" fillId="0" borderId="0" xfId="0" applyFont="1" applyFill="1"/>
    <xf numFmtId="0" fontId="69" fillId="0" borderId="0" xfId="0" applyFont="1" applyFill="1"/>
    <xf numFmtId="4" fontId="7" fillId="0" borderId="11" xfId="0" applyNumberFormat="1" applyFont="1" applyFill="1" applyBorder="1" applyAlignment="1">
      <alignment horizontal="center" vertical="center" wrapText="1"/>
    </xf>
    <xf numFmtId="4" fontId="35" fillId="0" borderId="4" xfId="0" applyNumberFormat="1" applyFont="1" applyFill="1" applyBorder="1" applyAlignment="1">
      <alignment vertical="center" wrapText="1"/>
    </xf>
    <xf numFmtId="4" fontId="29" fillId="0" borderId="4" xfId="0" applyNumberFormat="1" applyFont="1" applyFill="1" applyBorder="1" applyAlignment="1">
      <alignment vertical="center" wrapText="1"/>
    </xf>
    <xf numFmtId="0" fontId="29" fillId="0" borderId="15" xfId="0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wrapText="1"/>
    </xf>
    <xf numFmtId="4" fontId="35" fillId="0" borderId="55" xfId="0" applyNumberFormat="1" applyFont="1" applyFill="1" applyBorder="1" applyAlignment="1">
      <alignment horizontal="center" vertical="center" wrapText="1"/>
    </xf>
    <xf numFmtId="4" fontId="4" fillId="0" borderId="61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35" fillId="0" borderId="31" xfId="0" applyNumberFormat="1" applyFont="1" applyFill="1" applyBorder="1" applyAlignment="1">
      <alignment horizontal="center" vertical="center" wrapText="1"/>
    </xf>
    <xf numFmtId="4" fontId="35" fillId="0" borderId="32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 wrapText="1"/>
    </xf>
    <xf numFmtId="2" fontId="35" fillId="0" borderId="15" xfId="5" applyNumberFormat="1" applyFont="1" applyFill="1" applyBorder="1" applyAlignment="1">
      <alignment horizontal="center" vertical="center"/>
    </xf>
    <xf numFmtId="2" fontId="35" fillId="0" borderId="4" xfId="5" applyNumberFormat="1" applyFont="1" applyFill="1" applyBorder="1" applyAlignment="1">
      <alignment horizontal="center" vertical="center"/>
    </xf>
    <xf numFmtId="4" fontId="32" fillId="0" borderId="16" xfId="0" applyNumberFormat="1" applyFont="1" applyFill="1" applyBorder="1" applyAlignment="1">
      <alignment horizontal="center" vertical="center"/>
    </xf>
    <xf numFmtId="2" fontId="35" fillId="0" borderId="56" xfId="0" applyNumberFormat="1" applyFont="1" applyFill="1" applyBorder="1" applyAlignment="1">
      <alignment horizontal="center" vertical="center" wrapText="1"/>
    </xf>
    <xf numFmtId="2" fontId="29" fillId="0" borderId="56" xfId="0" applyNumberFormat="1" applyFont="1" applyFill="1" applyBorder="1" applyAlignment="1">
      <alignment horizontal="center" vertical="center" wrapText="1"/>
    </xf>
    <xf numFmtId="1" fontId="35" fillId="0" borderId="15" xfId="0" applyNumberFormat="1" applyFont="1" applyFill="1" applyBorder="1" applyAlignment="1">
      <alignment horizontal="center" wrapText="1"/>
    </xf>
    <xf numFmtId="0" fontId="2" fillId="0" borderId="28" xfId="0" applyFont="1" applyFill="1" applyBorder="1"/>
    <xf numFmtId="0" fontId="2" fillId="0" borderId="63" xfId="0" applyFont="1" applyFill="1" applyBorder="1"/>
    <xf numFmtId="0" fontId="2" fillId="0" borderId="64" xfId="0" applyFont="1" applyFill="1" applyBorder="1"/>
    <xf numFmtId="2" fontId="35" fillId="0" borderId="56" xfId="0" applyNumberFormat="1" applyFont="1" applyFill="1" applyBorder="1" applyAlignment="1">
      <alignment horizontal="center" vertical="center"/>
    </xf>
    <xf numFmtId="2" fontId="35" fillId="0" borderId="58" xfId="0" applyNumberFormat="1" applyFont="1" applyFill="1" applyBorder="1" applyAlignment="1">
      <alignment horizontal="center" vertical="center" wrapText="1"/>
    </xf>
    <xf numFmtId="2" fontId="35" fillId="0" borderId="58" xfId="0" applyNumberFormat="1" applyFont="1" applyFill="1" applyBorder="1" applyAlignment="1">
      <alignment horizontal="center" vertical="center"/>
    </xf>
    <xf numFmtId="2" fontId="29" fillId="0" borderId="58" xfId="0" applyNumberFormat="1" applyFont="1" applyFill="1" applyBorder="1" applyAlignment="1">
      <alignment horizontal="center" vertical="center"/>
    </xf>
    <xf numFmtId="2" fontId="29" fillId="0" borderId="58" xfId="0" applyNumberFormat="1" applyFont="1" applyFill="1" applyBorder="1" applyAlignment="1">
      <alignment horizontal="center" vertical="center" wrapText="1"/>
    </xf>
    <xf numFmtId="2" fontId="29" fillId="0" borderId="56" xfId="0" applyNumberFormat="1" applyFont="1" applyFill="1" applyBorder="1" applyAlignment="1">
      <alignment horizontal="center" wrapText="1"/>
    </xf>
    <xf numFmtId="0" fontId="29" fillId="0" borderId="56" xfId="0" applyFont="1" applyFill="1" applyBorder="1" applyAlignment="1">
      <alignment horizontal="center" wrapText="1"/>
    </xf>
    <xf numFmtId="2" fontId="35" fillId="0" borderId="55" xfId="0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/>
    </xf>
    <xf numFmtId="2" fontId="80" fillId="0" borderId="0" xfId="0" applyNumberFormat="1" applyFont="1" applyFill="1"/>
    <xf numFmtId="0" fontId="81" fillId="0" borderId="0" xfId="0" applyFont="1" applyFill="1"/>
    <xf numFmtId="0" fontId="82" fillId="0" borderId="0" xfId="0" applyFont="1" applyFill="1"/>
    <xf numFmtId="2" fontId="83" fillId="0" borderId="0" xfId="0" applyNumberFormat="1" applyFont="1" applyFill="1"/>
    <xf numFmtId="0" fontId="83" fillId="0" borderId="0" xfId="0" applyFont="1" applyFill="1" applyAlignment="1">
      <alignment horizontal="right"/>
    </xf>
    <xf numFmtId="4" fontId="28" fillId="0" borderId="65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4" fontId="29" fillId="0" borderId="57" xfId="0" applyNumberFormat="1" applyFont="1" applyFill="1" applyBorder="1" applyAlignment="1">
      <alignment vertical="center" wrapText="1"/>
    </xf>
    <xf numFmtId="4" fontId="7" fillId="0" borderId="27" xfId="0" applyNumberFormat="1" applyFont="1" applyFill="1" applyBorder="1" applyAlignment="1">
      <alignment horizontal="center" vertical="center" wrapText="1"/>
    </xf>
    <xf numFmtId="0" fontId="84" fillId="0" borderId="0" xfId="0" applyFont="1" applyFill="1"/>
    <xf numFmtId="0" fontId="85" fillId="0" borderId="0" xfId="0" applyFont="1" applyFill="1"/>
    <xf numFmtId="4" fontId="29" fillId="0" borderId="33" xfId="0" applyNumberFormat="1" applyFont="1" applyFill="1" applyBorder="1" applyAlignment="1">
      <alignment horizontal="center" vertical="center"/>
    </xf>
    <xf numFmtId="4" fontId="29" fillId="0" borderId="0" xfId="0" applyNumberFormat="1" applyFont="1" applyFill="1" applyBorder="1" applyAlignment="1">
      <alignment horizontal="left" vertical="center"/>
    </xf>
    <xf numFmtId="4" fontId="35" fillId="0" borderId="32" xfId="0" applyNumberFormat="1" applyFont="1" applyFill="1" applyBorder="1" applyAlignment="1">
      <alignment horizontal="center" vertical="center" wrapText="1"/>
    </xf>
    <xf numFmtId="4" fontId="29" fillId="0" borderId="12" xfId="0" applyNumberFormat="1" applyFont="1" applyFill="1" applyBorder="1" applyAlignment="1">
      <alignment horizontal="left" vertical="center"/>
    </xf>
    <xf numFmtId="4" fontId="35" fillId="0" borderId="61" xfId="0" applyNumberFormat="1" applyFont="1" applyFill="1" applyBorder="1" applyAlignment="1">
      <alignment vertical="center" wrapText="1"/>
    </xf>
    <xf numFmtId="4" fontId="35" fillId="0" borderId="31" xfId="0" applyNumberFormat="1" applyFont="1" applyFill="1" applyBorder="1" applyAlignment="1">
      <alignment vertical="center" wrapText="1"/>
    </xf>
    <xf numFmtId="4" fontId="35" fillId="0" borderId="15" xfId="0" applyNumberFormat="1" applyFont="1" applyFill="1" applyBorder="1" applyAlignment="1">
      <alignment vertical="center" wrapText="1"/>
    </xf>
    <xf numFmtId="4" fontId="29" fillId="0" borderId="15" xfId="0" applyNumberFormat="1" applyFont="1" applyFill="1" applyBorder="1" applyAlignment="1">
      <alignment vertical="center" wrapText="1"/>
    </xf>
    <xf numFmtId="0" fontId="42" fillId="0" borderId="0" xfId="0" applyFont="1" applyFill="1" applyAlignment="1">
      <alignment horizontal="center" vertical="center"/>
    </xf>
    <xf numFmtId="2" fontId="42" fillId="0" borderId="0" xfId="0" applyNumberFormat="1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 wrapText="1"/>
    </xf>
    <xf numFmtId="4" fontId="29" fillId="8" borderId="4" xfId="0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8" borderId="4" xfId="0" applyFont="1" applyFill="1" applyBorder="1" applyAlignment="1">
      <alignment horizontal="center" vertical="center"/>
    </xf>
    <xf numFmtId="0" fontId="29" fillId="8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4" fontId="35" fillId="8" borderId="4" xfId="0" applyNumberFormat="1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left" vertical="center" wrapText="1" indent="1"/>
    </xf>
    <xf numFmtId="4" fontId="4" fillId="0" borderId="66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>
      <alignment horizontal="center" vertical="center"/>
    </xf>
    <xf numFmtId="4" fontId="35" fillId="0" borderId="10" xfId="0" applyNumberFormat="1" applyFont="1" applyFill="1" applyBorder="1" applyAlignment="1">
      <alignment horizontal="center" vertical="center"/>
    </xf>
    <xf numFmtId="4" fontId="35" fillId="0" borderId="10" xfId="0" applyNumberFormat="1" applyFont="1" applyFill="1" applyBorder="1" applyAlignment="1">
      <alignment horizontal="center" vertical="center" wrapText="1"/>
    </xf>
    <xf numFmtId="2" fontId="35" fillId="0" borderId="10" xfId="5" applyNumberFormat="1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4" fontId="35" fillId="0" borderId="20" xfId="0" applyNumberFormat="1" applyFont="1" applyFill="1" applyBorder="1" applyAlignment="1">
      <alignment horizontal="center" vertical="center"/>
    </xf>
    <xf numFmtId="4" fontId="35" fillId="0" borderId="8" xfId="0" applyNumberFormat="1" applyFont="1" applyFill="1" applyBorder="1" applyAlignment="1">
      <alignment horizontal="center" vertical="center"/>
    </xf>
    <xf numFmtId="4" fontId="35" fillId="0" borderId="58" xfId="0" applyNumberFormat="1" applyFont="1" applyFill="1" applyBorder="1" applyAlignment="1">
      <alignment horizontal="center" vertical="center" wrapText="1"/>
    </xf>
    <xf numFmtId="49" fontId="7" fillId="0" borderId="49" xfId="0" applyNumberFormat="1" applyFont="1" applyFill="1" applyBorder="1" applyAlignment="1">
      <alignment horizontal="center" vertical="center" wrapText="1"/>
    </xf>
    <xf numFmtId="2" fontId="7" fillId="0" borderId="15" xfId="5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horizontal="center"/>
    </xf>
    <xf numFmtId="0" fontId="27" fillId="0" borderId="67" xfId="0" applyNumberFormat="1" applyFont="1" applyFill="1" applyBorder="1" applyAlignment="1">
      <alignment horizontal="center" wrapText="1"/>
    </xf>
    <xf numFmtId="0" fontId="35" fillId="0" borderId="67" xfId="0" applyFont="1" applyFill="1" applyBorder="1" applyAlignment="1">
      <alignment vertical="center" wrapText="1"/>
    </xf>
    <xf numFmtId="0" fontId="7" fillId="0" borderId="67" xfId="0" applyFont="1" applyFill="1" applyBorder="1" applyAlignment="1">
      <alignment horizontal="left" vertical="center" wrapText="1" indent="1"/>
    </xf>
    <xf numFmtId="0" fontId="29" fillId="0" borderId="67" xfId="0" applyFont="1" applyFill="1" applyBorder="1" applyAlignment="1">
      <alignment horizontal="left" vertical="center" wrapText="1" indent="1"/>
    </xf>
    <xf numFmtId="0" fontId="3" fillId="0" borderId="67" xfId="0" applyFont="1" applyFill="1" applyBorder="1" applyAlignment="1">
      <alignment horizontal="left" vertical="center" wrapText="1" indent="1"/>
    </xf>
    <xf numFmtId="0" fontId="3" fillId="0" borderId="67" xfId="0" applyFont="1" applyFill="1" applyBorder="1" applyAlignment="1">
      <alignment horizontal="left" vertical="center" wrapText="1" indent="3"/>
    </xf>
    <xf numFmtId="0" fontId="29" fillId="0" borderId="67" xfId="0" applyFont="1" applyFill="1" applyBorder="1" applyAlignment="1">
      <alignment horizontal="left" vertical="center" wrapText="1" indent="3"/>
    </xf>
    <xf numFmtId="0" fontId="29" fillId="0" borderId="67" xfId="0" applyFont="1" applyFill="1" applyBorder="1" applyAlignment="1">
      <alignment vertical="center" wrapText="1"/>
    </xf>
    <xf numFmtId="0" fontId="29" fillId="0" borderId="67" xfId="0" applyFont="1" applyFill="1" applyBorder="1" applyAlignment="1">
      <alignment horizontal="left" vertical="center" wrapText="1" indent="2"/>
    </xf>
    <xf numFmtId="0" fontId="29" fillId="0" borderId="67" xfId="0" applyFont="1" applyFill="1" applyBorder="1" applyAlignment="1">
      <alignment horizontal="left" vertical="center" wrapText="1"/>
    </xf>
    <xf numFmtId="0" fontId="28" fillId="0" borderId="67" xfId="0" applyFont="1" applyFill="1" applyBorder="1" applyAlignment="1">
      <alignment vertical="center" wrapText="1"/>
    </xf>
    <xf numFmtId="0" fontId="35" fillId="0" borderId="67" xfId="0" applyFont="1" applyFill="1" applyBorder="1" applyAlignment="1">
      <alignment horizontal="left" vertical="center" wrapText="1"/>
    </xf>
    <xf numFmtId="0" fontId="35" fillId="0" borderId="68" xfId="0" applyFont="1" applyFill="1" applyBorder="1" applyAlignment="1">
      <alignment horizontal="left" vertical="center"/>
    </xf>
    <xf numFmtId="0" fontId="37" fillId="0" borderId="0" xfId="0" applyFont="1" applyFill="1" applyAlignment="1">
      <alignment wrapText="1"/>
    </xf>
    <xf numFmtId="0" fontId="60" fillId="0" borderId="0" xfId="0" applyFont="1" applyFill="1"/>
    <xf numFmtId="0" fontId="54" fillId="0" borderId="0" xfId="0" applyFont="1" applyFill="1" applyBorder="1" applyAlignment="1">
      <alignment horizontal="left" vertical="center"/>
    </xf>
    <xf numFmtId="2" fontId="54" fillId="0" borderId="0" xfId="0" applyNumberFormat="1" applyFont="1" applyFill="1" applyBorder="1" applyAlignment="1">
      <alignment horizontal="center" vertical="center"/>
    </xf>
    <xf numFmtId="0" fontId="60" fillId="0" borderId="0" xfId="0" applyFont="1" applyFill="1" applyAlignment="1">
      <alignment wrapText="1"/>
    </xf>
    <xf numFmtId="0" fontId="54" fillId="0" borderId="0" xfId="0" applyFont="1" applyFill="1" applyAlignment="1"/>
    <xf numFmtId="0" fontId="54" fillId="0" borderId="0" xfId="0" applyFont="1" applyFill="1" applyAlignment="1">
      <alignment wrapText="1"/>
    </xf>
    <xf numFmtId="0" fontId="54" fillId="0" borderId="0" xfId="0" applyFont="1" applyFill="1" applyAlignment="1">
      <alignment horizontal="right"/>
    </xf>
    <xf numFmtId="4" fontId="4" fillId="0" borderId="21" xfId="0" applyNumberFormat="1" applyFont="1" applyFill="1" applyBorder="1" applyAlignment="1">
      <alignment horizontal="center" vertical="center" wrapText="1"/>
    </xf>
    <xf numFmtId="4" fontId="28" fillId="0" borderId="10" xfId="0" applyNumberFormat="1" applyFont="1" applyFill="1" applyBorder="1" applyAlignment="1">
      <alignment horizontal="center" vertical="center"/>
    </xf>
    <xf numFmtId="4" fontId="28" fillId="0" borderId="27" xfId="0" applyNumberFormat="1" applyFont="1" applyFill="1" applyBorder="1" applyAlignment="1">
      <alignment horizontal="center" vertical="center" wrapText="1"/>
    </xf>
    <xf numFmtId="4" fontId="7" fillId="0" borderId="48" xfId="0" applyNumberFormat="1" applyFont="1" applyFill="1" applyBorder="1" applyAlignment="1">
      <alignment horizontal="center" vertical="center" wrapText="1"/>
    </xf>
    <xf numFmtId="4" fontId="7" fillId="0" borderId="58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/>
    </xf>
    <xf numFmtId="0" fontId="37" fillId="0" borderId="0" xfId="0" applyFont="1" applyFill="1" applyAlignment="1"/>
    <xf numFmtId="0" fontId="37" fillId="0" borderId="0" xfId="0" applyFont="1" applyFill="1" applyAlignment="1">
      <alignment horizontal="right"/>
    </xf>
    <xf numFmtId="0" fontId="84" fillId="0" borderId="0" xfId="0" applyFont="1" applyFill="1" applyAlignment="1">
      <alignment vertical="center" wrapText="1"/>
    </xf>
    <xf numFmtId="2" fontId="35" fillId="0" borderId="66" xfId="0" applyNumberFormat="1" applyFont="1" applyFill="1" applyBorder="1" applyAlignment="1">
      <alignment horizontal="center" vertical="center"/>
    </xf>
    <xf numFmtId="2" fontId="35" fillId="0" borderId="10" xfId="0" applyNumberFormat="1" applyFont="1" applyFill="1" applyBorder="1" applyAlignment="1">
      <alignment horizontal="center" vertical="center" wrapText="1"/>
    </xf>
    <xf numFmtId="2" fontId="29" fillId="0" borderId="10" xfId="0" applyNumberFormat="1" applyFont="1" applyFill="1" applyBorder="1" applyAlignment="1">
      <alignment horizontal="center" vertical="center" wrapText="1"/>
    </xf>
    <xf numFmtId="2" fontId="35" fillId="0" borderId="10" xfId="0" applyNumberFormat="1" applyFont="1" applyFill="1" applyBorder="1" applyAlignment="1">
      <alignment horizontal="center" vertical="center"/>
    </xf>
    <xf numFmtId="2" fontId="29" fillId="0" borderId="10" xfId="0" applyNumberFormat="1" applyFont="1" applyFill="1" applyBorder="1" applyAlignment="1">
      <alignment horizontal="center" vertical="center"/>
    </xf>
    <xf numFmtId="2" fontId="35" fillId="0" borderId="69" xfId="0" applyNumberFormat="1" applyFont="1" applyFill="1" applyBorder="1" applyAlignment="1">
      <alignment horizontal="center" vertical="center"/>
    </xf>
    <xf numFmtId="2" fontId="29" fillId="0" borderId="8" xfId="0" applyNumberFormat="1" applyFont="1" applyFill="1" applyBorder="1" applyAlignment="1">
      <alignment horizontal="center" vertical="center" wrapText="1"/>
    </xf>
    <xf numFmtId="2" fontId="35" fillId="0" borderId="70" xfId="0" applyNumberFormat="1" applyFont="1" applyFill="1" applyBorder="1" applyAlignment="1">
      <alignment horizontal="center" vertical="center"/>
    </xf>
    <xf numFmtId="1" fontId="35" fillId="0" borderId="15" xfId="0" applyNumberFormat="1" applyFont="1" applyFill="1" applyBorder="1" applyAlignment="1">
      <alignment wrapText="1"/>
    </xf>
    <xf numFmtId="0" fontId="44" fillId="0" borderId="15" xfId="0" applyFont="1" applyFill="1" applyBorder="1"/>
    <xf numFmtId="2" fontId="35" fillId="0" borderId="8" xfId="0" applyNumberFormat="1" applyFont="1" applyFill="1" applyBorder="1" applyAlignment="1">
      <alignment horizontal="center" vertical="center" wrapText="1"/>
    </xf>
    <xf numFmtId="2" fontId="35" fillId="0" borderId="8" xfId="0" applyNumberFormat="1" applyFont="1" applyFill="1" applyBorder="1" applyAlignment="1">
      <alignment horizontal="center" vertical="center"/>
    </xf>
    <xf numFmtId="2" fontId="29" fillId="0" borderId="8" xfId="0" applyNumberFormat="1" applyFont="1" applyFill="1" applyBorder="1" applyAlignment="1">
      <alignment horizontal="center" vertical="center"/>
    </xf>
    <xf numFmtId="2" fontId="35" fillId="0" borderId="57" xfId="0" applyNumberFormat="1" applyFont="1" applyFill="1" applyBorder="1" applyAlignment="1">
      <alignment horizontal="center" vertical="center"/>
    </xf>
    <xf numFmtId="2" fontId="29" fillId="0" borderId="55" xfId="0" applyNumberFormat="1" applyFont="1" applyFill="1" applyBorder="1" applyAlignment="1">
      <alignment horizontal="center" vertical="center" wrapText="1"/>
    </xf>
    <xf numFmtId="2" fontId="35" fillId="0" borderId="55" xfId="0" applyNumberFormat="1" applyFont="1" applyFill="1" applyBorder="1" applyAlignment="1">
      <alignment horizontal="center" vertical="center"/>
    </xf>
    <xf numFmtId="2" fontId="29" fillId="0" borderId="55" xfId="0" applyNumberFormat="1" applyFont="1" applyFill="1" applyBorder="1" applyAlignment="1">
      <alignment horizontal="center" vertical="center"/>
    </xf>
    <xf numFmtId="2" fontId="29" fillId="0" borderId="71" xfId="0" applyNumberFormat="1" applyFont="1" applyFill="1" applyBorder="1" applyAlignment="1">
      <alignment horizontal="center" vertical="center" wrapText="1"/>
    </xf>
    <xf numFmtId="1" fontId="35" fillId="0" borderId="16" xfId="0" applyNumberFormat="1" applyFont="1" applyFill="1" applyBorder="1" applyAlignment="1">
      <alignment horizontal="center" wrapText="1"/>
    </xf>
    <xf numFmtId="0" fontId="35" fillId="0" borderId="16" xfId="0" applyFont="1" applyFill="1" applyBorder="1"/>
    <xf numFmtId="0" fontId="27" fillId="0" borderId="72" xfId="0" applyFont="1" applyFill="1" applyBorder="1" applyAlignment="1">
      <alignment horizontal="center" wrapText="1"/>
    </xf>
    <xf numFmtId="0" fontId="35" fillId="0" borderId="73" xfId="0" applyFont="1" applyFill="1" applyBorder="1" applyAlignment="1">
      <alignment horizontal="center" wrapText="1"/>
    </xf>
    <xf numFmtId="0" fontId="35" fillId="0" borderId="74" xfId="0" applyFont="1" applyFill="1" applyBorder="1" applyAlignment="1">
      <alignment horizontal="center" wrapText="1"/>
    </xf>
    <xf numFmtId="49" fontId="29" fillId="0" borderId="74" xfId="0" applyNumberFormat="1" applyFont="1" applyFill="1" applyBorder="1" applyAlignment="1">
      <alignment horizontal="center" wrapText="1"/>
    </xf>
    <xf numFmtId="49" fontId="29" fillId="0" borderId="74" xfId="0" applyNumberFormat="1" applyFont="1" applyFill="1" applyBorder="1" applyAlignment="1">
      <alignment horizontal="center" vertical="center" wrapText="1"/>
    </xf>
    <xf numFmtId="49" fontId="28" fillId="0" borderId="74" xfId="0" applyNumberFormat="1" applyFont="1" applyFill="1" applyBorder="1" applyAlignment="1">
      <alignment horizontal="center" vertical="center" wrapText="1"/>
    </xf>
    <xf numFmtId="49" fontId="7" fillId="0" borderId="74" xfId="0" applyNumberFormat="1" applyFont="1" applyFill="1" applyBorder="1" applyAlignment="1">
      <alignment horizontal="center" wrapText="1"/>
    </xf>
    <xf numFmtId="49" fontId="7" fillId="0" borderId="74" xfId="0" applyNumberFormat="1" applyFont="1" applyFill="1" applyBorder="1" applyAlignment="1">
      <alignment horizontal="center" vertical="center" wrapText="1"/>
    </xf>
    <xf numFmtId="0" fontId="35" fillId="0" borderId="74" xfId="0" applyFont="1" applyFill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49" fontId="35" fillId="0" borderId="74" xfId="0" applyNumberFormat="1" applyFont="1" applyFill="1" applyBorder="1" applyAlignment="1">
      <alignment horizontal="center" wrapText="1"/>
    </xf>
    <xf numFmtId="0" fontId="35" fillId="0" borderId="75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center" wrapText="1"/>
    </xf>
    <xf numFmtId="0" fontId="35" fillId="0" borderId="76" xfId="0" applyFont="1" applyFill="1" applyBorder="1" applyAlignment="1">
      <alignment wrapText="1"/>
    </xf>
    <xf numFmtId="0" fontId="35" fillId="0" borderId="67" xfId="0" applyFont="1" applyFill="1" applyBorder="1" applyAlignment="1">
      <alignment wrapText="1"/>
    </xf>
    <xf numFmtId="0" fontId="29" fillId="0" borderId="67" xfId="0" applyFont="1" applyFill="1" applyBorder="1" applyAlignment="1">
      <alignment horizontal="left" wrapText="1" indent="1"/>
    </xf>
    <xf numFmtId="0" fontId="7" fillId="0" borderId="67" xfId="0" applyFont="1" applyFill="1" applyBorder="1" applyAlignment="1">
      <alignment wrapText="1"/>
    </xf>
    <xf numFmtId="0" fontId="29" fillId="0" borderId="67" xfId="0" applyFont="1" applyFill="1" applyBorder="1" applyAlignment="1">
      <alignment horizontal="left" wrapText="1" indent="2"/>
    </xf>
    <xf numFmtId="0" fontId="29" fillId="0" borderId="67" xfId="0" applyFont="1" applyFill="1" applyBorder="1" applyAlignment="1">
      <alignment wrapText="1"/>
    </xf>
    <xf numFmtId="0" fontId="35" fillId="0" borderId="77" xfId="0" applyFont="1" applyFill="1" applyBorder="1"/>
    <xf numFmtId="0" fontId="35" fillId="0" borderId="68" xfId="0" applyFont="1" applyFill="1" applyBorder="1"/>
    <xf numFmtId="49" fontId="28" fillId="0" borderId="49" xfId="0" applyNumberFormat="1" applyFont="1" applyFill="1" applyBorder="1" applyAlignment="1">
      <alignment horizontal="center" vertical="center" wrapText="1"/>
    </xf>
    <xf numFmtId="4" fontId="28" fillId="0" borderId="15" xfId="0" applyNumberFormat="1" applyFont="1" applyFill="1" applyBorder="1" applyAlignment="1">
      <alignment vertical="center" wrapText="1"/>
    </xf>
    <xf numFmtId="4" fontId="28" fillId="0" borderId="4" xfId="0" applyNumberFormat="1" applyFont="1" applyFill="1" applyBorder="1" applyAlignment="1">
      <alignment vertical="center" wrapText="1"/>
    </xf>
    <xf numFmtId="0" fontId="3" fillId="0" borderId="42" xfId="0" applyFont="1" applyFill="1" applyBorder="1" applyAlignment="1">
      <alignment horizontal="right" wrapText="1"/>
    </xf>
    <xf numFmtId="0" fontId="4" fillId="0" borderId="42" xfId="0" applyFont="1" applyFill="1" applyBorder="1" applyAlignment="1">
      <alignment horizontal="center" wrapText="1"/>
    </xf>
    <xf numFmtId="0" fontId="35" fillId="0" borderId="76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vertical="center" wrapText="1"/>
    </xf>
    <xf numFmtId="0" fontId="29" fillId="0" borderId="68" xfId="0" applyFont="1" applyFill="1" applyBorder="1" applyAlignment="1">
      <alignment horizontal="left" vertical="center"/>
    </xf>
    <xf numFmtId="4" fontId="29" fillId="0" borderId="2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54" fillId="0" borderId="0" xfId="0" applyFont="1" applyFill="1" applyBorder="1" applyAlignment="1"/>
    <xf numFmtId="0" fontId="54" fillId="0" borderId="0" xfId="0" applyFont="1" applyFill="1" applyBorder="1" applyAlignment="1">
      <alignment vertical="center"/>
    </xf>
    <xf numFmtId="0" fontId="54" fillId="0" borderId="0" xfId="0" applyFont="1" applyFill="1" applyBorder="1" applyAlignment="1">
      <alignment horizontal="left" indent="2"/>
    </xf>
    <xf numFmtId="0" fontId="54" fillId="0" borderId="0" xfId="0" applyFont="1" applyFill="1" applyBorder="1" applyAlignment="1">
      <alignment horizontal="left" vertical="center" indent="2"/>
    </xf>
    <xf numFmtId="0" fontId="54" fillId="8" borderId="0" xfId="0" applyFont="1" applyFill="1" applyBorder="1" applyAlignment="1"/>
    <xf numFmtId="0" fontId="4" fillId="0" borderId="10" xfId="0" applyFont="1" applyFill="1" applyBorder="1" applyAlignment="1">
      <alignment horizontal="center" vertical="center" wrapText="1"/>
    </xf>
    <xf numFmtId="4" fontId="28" fillId="0" borderId="58" xfId="0" applyNumberFormat="1" applyFont="1" applyFill="1" applyBorder="1" applyAlignment="1">
      <alignment horizontal="center" vertical="center" wrapText="1"/>
    </xf>
    <xf numFmtId="0" fontId="86" fillId="0" borderId="0" xfId="0" applyFont="1" applyFill="1"/>
    <xf numFmtId="0" fontId="84" fillId="0" borderId="0" xfId="0" applyFont="1" applyFill="1" applyAlignment="1">
      <alignment wrapText="1"/>
    </xf>
    <xf numFmtId="0" fontId="87" fillId="0" borderId="0" xfId="0" applyFont="1" applyFill="1"/>
    <xf numFmtId="0" fontId="88" fillId="0" borderId="0" xfId="0" applyFont="1" applyFill="1"/>
    <xf numFmtId="0" fontId="89" fillId="0" borderId="0" xfId="0" applyFont="1" applyFill="1" applyAlignment="1">
      <alignment horizontal="right"/>
    </xf>
    <xf numFmtId="0" fontId="86" fillId="0" borderId="0" xfId="0" applyFont="1" applyFill="1" applyAlignment="1">
      <alignment horizontal="right"/>
    </xf>
    <xf numFmtId="0" fontId="84" fillId="0" borderId="0" xfId="0" applyFont="1" applyFill="1" applyAlignment="1">
      <alignment horizontal="right"/>
    </xf>
    <xf numFmtId="0" fontId="84" fillId="0" borderId="0" xfId="0" applyFont="1" applyFill="1" applyAlignment="1">
      <alignment horizontal="right" wrapText="1"/>
    </xf>
    <xf numFmtId="2" fontId="80" fillId="0" borderId="0" xfId="0" applyNumberFormat="1" applyFont="1" applyFill="1" applyAlignment="1">
      <alignment horizontal="right"/>
    </xf>
    <xf numFmtId="2" fontId="80" fillId="0" borderId="0" xfId="0" applyNumberFormat="1" applyFont="1" applyFill="1" applyAlignment="1">
      <alignment horizontal="right" vertical="center"/>
    </xf>
    <xf numFmtId="0" fontId="80" fillId="0" borderId="0" xfId="0" applyFont="1" applyFill="1" applyAlignment="1">
      <alignment horizontal="right"/>
    </xf>
    <xf numFmtId="0" fontId="87" fillId="0" borderId="0" xfId="0" applyFont="1" applyFill="1" applyAlignment="1">
      <alignment horizontal="right"/>
    </xf>
    <xf numFmtId="0" fontId="88" fillId="0" borderId="0" xfId="0" applyFont="1" applyFill="1" applyAlignment="1">
      <alignment horizontal="right"/>
    </xf>
    <xf numFmtId="0" fontId="90" fillId="0" borderId="0" xfId="0" applyFont="1" applyFill="1" applyAlignment="1">
      <alignment horizontal="right"/>
    </xf>
    <xf numFmtId="4" fontId="35" fillId="0" borderId="0" xfId="0" applyNumberFormat="1" applyFont="1" applyFill="1"/>
    <xf numFmtId="4" fontId="87" fillId="0" borderId="0" xfId="0" applyNumberFormat="1" applyFont="1" applyFill="1"/>
    <xf numFmtId="0" fontId="83" fillId="0" borderId="0" xfId="0" applyFont="1" applyFill="1" applyAlignment="1">
      <alignment vertical="center"/>
    </xf>
    <xf numFmtId="0" fontId="91" fillId="0" borderId="0" xfId="0" applyFont="1" applyFill="1" applyAlignment="1">
      <alignment horizontal="right"/>
    </xf>
    <xf numFmtId="4" fontId="35" fillId="0" borderId="61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/>
    </xf>
    <xf numFmtId="4" fontId="29" fillId="0" borderId="17" xfId="0" applyNumberFormat="1" applyFont="1" applyFill="1" applyBorder="1" applyAlignment="1">
      <alignment horizontal="left" vertical="center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48" xfId="0" applyNumberFormat="1" applyFont="1" applyFill="1" applyBorder="1" applyAlignment="1">
      <alignment horizontal="center" vertical="center" wrapText="1"/>
    </xf>
    <xf numFmtId="4" fontId="35" fillId="0" borderId="56" xfId="0" applyNumberFormat="1" applyFont="1" applyFill="1" applyBorder="1" applyAlignment="1">
      <alignment horizontal="center" vertical="center"/>
    </xf>
    <xf numFmtId="4" fontId="28" fillId="0" borderId="58" xfId="0" applyNumberFormat="1" applyFont="1" applyFill="1" applyBorder="1" applyAlignment="1">
      <alignment horizontal="center" vertical="center"/>
    </xf>
    <xf numFmtId="4" fontId="7" fillId="0" borderId="58" xfId="0" applyNumberFormat="1" applyFont="1" applyFill="1" applyBorder="1" applyAlignment="1">
      <alignment horizontal="center" vertical="center"/>
    </xf>
    <xf numFmtId="4" fontId="35" fillId="0" borderId="56" xfId="0" applyNumberFormat="1" applyFont="1" applyFill="1" applyBorder="1" applyAlignment="1">
      <alignment horizontal="center" vertical="center" wrapText="1"/>
    </xf>
    <xf numFmtId="4" fontId="3" fillId="0" borderId="56" xfId="0" applyNumberFormat="1" applyFont="1" applyFill="1" applyBorder="1" applyAlignment="1">
      <alignment horizontal="center" vertical="center" wrapText="1"/>
    </xf>
    <xf numFmtId="4" fontId="3" fillId="8" borderId="15" xfId="0" applyNumberFormat="1" applyFont="1" applyFill="1" applyBorder="1" applyAlignment="1">
      <alignment horizontal="center" vertical="center" wrapText="1"/>
    </xf>
    <xf numFmtId="4" fontId="29" fillId="8" borderId="15" xfId="0" applyNumberFormat="1" applyFont="1" applyFill="1" applyBorder="1" applyAlignment="1">
      <alignment horizontal="center" vertical="center" wrapText="1"/>
    </xf>
    <xf numFmtId="4" fontId="35" fillId="3" borderId="15" xfId="0" applyNumberFormat="1" applyFont="1" applyFill="1" applyBorder="1" applyAlignment="1">
      <alignment horizontal="center" vertical="center" wrapText="1"/>
    </xf>
    <xf numFmtId="2" fontId="29" fillId="8" borderId="15" xfId="0" applyNumberFormat="1" applyFont="1" applyFill="1" applyBorder="1" applyAlignment="1">
      <alignment horizontal="center" vertical="center" wrapText="1"/>
    </xf>
    <xf numFmtId="0" fontId="29" fillId="8" borderId="28" xfId="0" applyFont="1" applyFill="1" applyBorder="1" applyAlignment="1">
      <alignment horizontal="center" vertical="center"/>
    </xf>
    <xf numFmtId="0" fontId="29" fillId="8" borderId="15" xfId="0" applyFont="1" applyFill="1" applyBorder="1" applyAlignment="1">
      <alignment horizontal="center" vertical="center" wrapText="1"/>
    </xf>
    <xf numFmtId="4" fontId="35" fillId="8" borderId="15" xfId="0" applyNumberFormat="1" applyFont="1" applyFill="1" applyBorder="1" applyAlignment="1">
      <alignment horizontal="center" vertical="center" wrapText="1"/>
    </xf>
    <xf numFmtId="4" fontId="35" fillId="7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vertical="center" wrapText="1"/>
    </xf>
    <xf numFmtId="0" fontId="35" fillId="0" borderId="17" xfId="0" applyFont="1" applyFill="1" applyBorder="1" applyAlignment="1">
      <alignment horizontal="left" vertical="center"/>
    </xf>
    <xf numFmtId="0" fontId="35" fillId="0" borderId="73" xfId="0" applyFont="1" applyFill="1" applyBorder="1" applyAlignment="1">
      <alignment horizontal="center" vertical="center" wrapText="1"/>
    </xf>
    <xf numFmtId="49" fontId="35" fillId="0" borderId="74" xfId="0" applyNumberFormat="1" applyFont="1" applyFill="1" applyBorder="1" applyAlignment="1">
      <alignment horizontal="center" vertical="center" wrapText="1"/>
    </xf>
    <xf numFmtId="49" fontId="2" fillId="0" borderId="74" xfId="0" applyNumberFormat="1" applyFont="1" applyFill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 indent="8"/>
    </xf>
    <xf numFmtId="0" fontId="32" fillId="0" borderId="0" xfId="0" applyFont="1" applyFill="1" applyAlignment="1">
      <alignment horizontal="left" indent="8"/>
    </xf>
    <xf numFmtId="4" fontId="35" fillId="0" borderId="62" xfId="0" applyNumberFormat="1" applyFont="1" applyFill="1" applyBorder="1" applyAlignment="1">
      <alignment vertical="center" wrapText="1"/>
    </xf>
    <xf numFmtId="4" fontId="35" fillId="0" borderId="8" xfId="0" applyNumberFormat="1" applyFont="1" applyFill="1" applyBorder="1" applyAlignment="1">
      <alignment vertical="center" wrapText="1"/>
    </xf>
    <xf numFmtId="4" fontId="28" fillId="0" borderId="8" xfId="0" applyNumberFormat="1" applyFont="1" applyFill="1" applyBorder="1" applyAlignment="1">
      <alignment vertical="center" wrapText="1"/>
    </xf>
    <xf numFmtId="4" fontId="29" fillId="0" borderId="8" xfId="0" applyNumberFormat="1" applyFont="1" applyFill="1" applyBorder="1" applyAlignment="1">
      <alignment vertical="center" wrapText="1"/>
    </xf>
    <xf numFmtId="4" fontId="29" fillId="0" borderId="57" xfId="0" applyNumberFormat="1" applyFont="1" applyFill="1" applyBorder="1" applyAlignment="1">
      <alignment horizontal="center" vertical="center"/>
    </xf>
    <xf numFmtId="0" fontId="27" fillId="0" borderId="78" xfId="0" applyFont="1" applyFill="1" applyBorder="1" applyAlignment="1">
      <alignment horizontal="center" vertical="center" wrapText="1"/>
    </xf>
    <xf numFmtId="0" fontId="27" fillId="0" borderId="79" xfId="0" applyNumberFormat="1" applyFont="1" applyFill="1" applyBorder="1" applyAlignment="1">
      <alignment horizontal="center" wrapText="1"/>
    </xf>
    <xf numFmtId="4" fontId="35" fillId="0" borderId="80" xfId="0" applyNumberFormat="1" applyFont="1" applyFill="1" applyBorder="1" applyAlignment="1">
      <alignment horizontal="center" vertical="center" wrapText="1"/>
    </xf>
    <xf numFmtId="4" fontId="35" fillId="0" borderId="22" xfId="0" applyNumberFormat="1" applyFont="1" applyFill="1" applyBorder="1" applyAlignment="1">
      <alignment horizontal="center" vertical="center" wrapText="1"/>
    </xf>
    <xf numFmtId="4" fontId="29" fillId="0" borderId="22" xfId="0" applyNumberFormat="1" applyFont="1" applyFill="1" applyBorder="1" applyAlignment="1">
      <alignment horizontal="center" vertical="center" wrapText="1"/>
    </xf>
    <xf numFmtId="4" fontId="35" fillId="0" borderId="22" xfId="0" applyNumberFormat="1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 vertical="center"/>
    </xf>
    <xf numFmtId="4" fontId="29" fillId="0" borderId="22" xfId="0" applyNumberFormat="1" applyFont="1" applyFill="1" applyBorder="1" applyAlignment="1">
      <alignment horizontal="center" vertical="center"/>
    </xf>
    <xf numFmtId="4" fontId="29" fillId="0" borderId="78" xfId="0" applyNumberFormat="1" applyFont="1" applyFill="1" applyBorder="1" applyAlignment="1">
      <alignment horizontal="center" vertical="center"/>
    </xf>
    <xf numFmtId="4" fontId="35" fillId="0" borderId="80" xfId="0" applyNumberFormat="1" applyFont="1" applyFill="1" applyBorder="1" applyAlignment="1">
      <alignment vertical="center" wrapText="1"/>
    </xf>
    <xf numFmtId="4" fontId="35" fillId="0" borderId="22" xfId="0" applyNumberFormat="1" applyFont="1" applyFill="1" applyBorder="1" applyAlignment="1">
      <alignment vertical="center" wrapText="1"/>
    </xf>
    <xf numFmtId="4" fontId="29" fillId="0" borderId="22" xfId="0" applyNumberFormat="1" applyFont="1" applyFill="1" applyBorder="1" applyAlignment="1">
      <alignment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83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 wrapText="1"/>
    </xf>
    <xf numFmtId="0" fontId="4" fillId="0" borderId="85" xfId="0" applyFont="1" applyFill="1" applyBorder="1" applyAlignment="1">
      <alignment horizontal="center" vertical="center" wrapText="1"/>
    </xf>
    <xf numFmtId="0" fontId="28" fillId="0" borderId="86" xfId="0" applyFont="1" applyFill="1" applyBorder="1" applyAlignment="1">
      <alignment horizontal="center" vertical="center" wrapText="1"/>
    </xf>
    <xf numFmtId="0" fontId="28" fillId="0" borderId="87" xfId="0" applyFont="1" applyFill="1" applyBorder="1" applyAlignment="1">
      <alignment horizontal="center" vertical="center" wrapText="1"/>
    </xf>
    <xf numFmtId="0" fontId="28" fillId="0" borderId="88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67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32" fillId="0" borderId="61" xfId="0" applyFont="1" applyFill="1" applyBorder="1" applyAlignment="1">
      <alignment horizontal="center" vertical="center" wrapText="1"/>
    </xf>
    <xf numFmtId="0" fontId="32" fillId="0" borderId="31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2" fillId="0" borderId="89" xfId="0" applyFont="1" applyFill="1" applyBorder="1" applyAlignment="1">
      <alignment horizontal="center" vertical="center" wrapText="1"/>
    </xf>
    <xf numFmtId="0" fontId="32" fillId="0" borderId="90" xfId="0" applyFont="1" applyFill="1" applyBorder="1" applyAlignment="1">
      <alignment horizontal="center" vertical="center" wrapText="1"/>
    </xf>
    <xf numFmtId="0" fontId="32" fillId="0" borderId="69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55" fillId="0" borderId="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2" fontId="4" fillId="0" borderId="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right" vertical="center"/>
    </xf>
    <xf numFmtId="49" fontId="28" fillId="0" borderId="4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2" fillId="0" borderId="61" xfId="0" applyFont="1" applyFill="1" applyBorder="1" applyAlignment="1">
      <alignment horizontal="center" vertical="center"/>
    </xf>
    <xf numFmtId="0" fontId="32" fillId="0" borderId="31" xfId="0" applyFont="1" applyFill="1" applyBorder="1" applyAlignment="1">
      <alignment horizontal="center" vertical="center"/>
    </xf>
    <xf numFmtId="0" fontId="32" fillId="0" borderId="32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vertical="center" wrapText="1"/>
    </xf>
    <xf numFmtId="0" fontId="86" fillId="0" borderId="19" xfId="0" applyFont="1" applyFill="1" applyBorder="1" applyAlignment="1">
      <alignment horizontal="center" wrapText="1"/>
    </xf>
    <xf numFmtId="0" fontId="86" fillId="0" borderId="0" xfId="0" applyFont="1" applyFill="1" applyAlignment="1">
      <alignment horizont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 vertical="center"/>
    </xf>
    <xf numFmtId="0" fontId="28" fillId="0" borderId="58" xfId="0" applyFont="1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3" xfId="0" applyFill="1" applyBorder="1" applyAlignment="1">
      <alignment horizontal="center" vertical="center" wrapText="1"/>
    </xf>
    <xf numFmtId="0" fontId="0" fillId="0" borderId="94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0" fillId="0" borderId="95" xfId="0" applyFill="1" applyBorder="1" applyAlignment="1">
      <alignment horizontal="center" vertical="center" wrapText="1"/>
    </xf>
    <xf numFmtId="190" fontId="41" fillId="0" borderId="10" xfId="0" applyNumberFormat="1" applyFont="1" applyFill="1" applyBorder="1" applyAlignment="1">
      <alignment horizontal="center" vertical="center"/>
    </xf>
    <xf numFmtId="190" fontId="41" fillId="0" borderId="55" xfId="0" applyNumberFormat="1" applyFont="1" applyFill="1" applyBorder="1" applyAlignment="1">
      <alignment horizontal="center" vertical="center"/>
    </xf>
    <xf numFmtId="190" fontId="41" fillId="0" borderId="8" xfId="0" applyNumberFormat="1" applyFont="1" applyFill="1" applyBorder="1" applyAlignment="1">
      <alignment horizontal="center" vertical="center"/>
    </xf>
    <xf numFmtId="0" fontId="92" fillId="0" borderId="19" xfId="0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 vertical="center" wrapText="1"/>
    </xf>
    <xf numFmtId="0" fontId="28" fillId="0" borderId="91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92" xfId="0" applyFont="1" applyFill="1" applyBorder="1" applyAlignment="1">
      <alignment horizontal="center" vertical="center"/>
    </xf>
    <xf numFmtId="0" fontId="32" fillId="0" borderId="62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right"/>
    </xf>
    <xf numFmtId="0" fontId="32" fillId="0" borderId="0" xfId="0" applyFont="1" applyFill="1" applyAlignment="1">
      <alignment horizontal="left" wrapText="1"/>
    </xf>
    <xf numFmtId="0" fontId="4" fillId="0" borderId="89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9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 wrapText="1"/>
    </xf>
    <xf numFmtId="2" fontId="54" fillId="0" borderId="0" xfId="0" applyNumberFormat="1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06" xfId="0" applyFont="1" applyFill="1" applyBorder="1" applyAlignment="1">
      <alignment horizontal="center" vertical="center" wrapText="1"/>
    </xf>
    <xf numFmtId="0" fontId="55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1" fontId="3" fillId="0" borderId="103" xfId="0" applyNumberFormat="1" applyFont="1" applyFill="1" applyBorder="1" applyAlignment="1">
      <alignment horizontal="center" wrapText="1"/>
    </xf>
    <xf numFmtId="1" fontId="3" fillId="0" borderId="104" xfId="0" applyNumberFormat="1" applyFont="1" applyFill="1" applyBorder="1" applyAlignment="1">
      <alignment horizontal="center" wrapText="1"/>
    </xf>
    <xf numFmtId="1" fontId="3" fillId="0" borderId="105" xfId="0" applyNumberFormat="1" applyFont="1" applyFill="1" applyBorder="1" applyAlignment="1">
      <alignment horizontal="center" wrapText="1"/>
    </xf>
    <xf numFmtId="0" fontId="1" fillId="0" borderId="6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6" fillId="0" borderId="101" xfId="0" applyFont="1" applyFill="1" applyBorder="1" applyAlignment="1">
      <alignment horizontal="center" vertical="center" wrapText="1"/>
    </xf>
    <xf numFmtId="0" fontId="36" fillId="0" borderId="102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96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54" fillId="0" borderId="4" xfId="0" applyFont="1" applyFill="1" applyBorder="1" applyAlignment="1">
      <alignment horizontal="center"/>
    </xf>
    <xf numFmtId="0" fontId="54" fillId="0" borderId="10" xfId="0" applyFont="1" applyFill="1" applyBorder="1" applyAlignment="1">
      <alignment horizontal="center"/>
    </xf>
    <xf numFmtId="0" fontId="11" fillId="0" borderId="6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4" fillId="0" borderId="22" xfId="0" applyFont="1" applyFill="1" applyBorder="1" applyAlignment="1">
      <alignment horizontal="center"/>
    </xf>
    <xf numFmtId="0" fontId="54" fillId="0" borderId="23" xfId="0" applyFont="1" applyFill="1" applyBorder="1" applyAlignment="1">
      <alignment horizontal="center"/>
    </xf>
    <xf numFmtId="0" fontId="36" fillId="0" borderId="8" xfId="0" applyFont="1" applyFill="1" applyBorder="1" applyAlignment="1">
      <alignment horizontal="center" vertical="center" wrapText="1"/>
    </xf>
    <xf numFmtId="0" fontId="54" fillId="0" borderId="8" xfId="0" applyFont="1" applyFill="1" applyBorder="1" applyAlignment="1">
      <alignment horizontal="center"/>
    </xf>
    <xf numFmtId="0" fontId="36" fillId="0" borderId="30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98" xfId="0" applyFont="1" applyFill="1" applyBorder="1" applyAlignment="1">
      <alignment horizontal="center" vertical="center" wrapText="1"/>
    </xf>
    <xf numFmtId="0" fontId="36" fillId="0" borderId="99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0" fontId="36" fillId="0" borderId="10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107" xfId="0" applyFont="1" applyFill="1" applyBorder="1" applyAlignment="1">
      <alignment horizontal="right" vertical="center" wrapText="1"/>
    </xf>
    <xf numFmtId="0" fontId="4" fillId="0" borderId="77" xfId="0" applyFont="1" applyFill="1" applyBorder="1" applyAlignment="1">
      <alignment horizontal="right" vertical="center" wrapText="1"/>
    </xf>
    <xf numFmtId="0" fontId="4" fillId="0" borderId="108" xfId="0" applyFont="1" applyFill="1" applyBorder="1" applyAlignment="1">
      <alignment horizontal="right" vertical="center" wrapText="1"/>
    </xf>
    <xf numFmtId="0" fontId="4" fillId="0" borderId="10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10" xfId="0" applyFont="1" applyFill="1" applyBorder="1" applyAlignment="1">
      <alignment horizontal="center" vertical="center" wrapText="1"/>
    </xf>
    <xf numFmtId="49" fontId="4" fillId="0" borderId="111" xfId="0" applyNumberFormat="1" applyFont="1" applyFill="1" applyBorder="1" applyAlignment="1">
      <alignment horizontal="center" vertical="center" wrapText="1"/>
    </xf>
    <xf numFmtId="49" fontId="4" fillId="0" borderId="112" xfId="0" applyNumberFormat="1" applyFont="1" applyFill="1" applyBorder="1" applyAlignment="1">
      <alignment horizontal="center" vertical="center" wrapText="1"/>
    </xf>
    <xf numFmtId="49" fontId="4" fillId="0" borderId="37" xfId="0" applyNumberFormat="1" applyFont="1" applyFill="1" applyBorder="1" applyAlignment="1">
      <alignment horizontal="center" vertical="center" wrapText="1"/>
    </xf>
    <xf numFmtId="0" fontId="4" fillId="0" borderId="95" xfId="0" applyFont="1" applyFill="1" applyBorder="1" applyAlignment="1">
      <alignment horizontal="center" vertical="center" wrapText="1"/>
    </xf>
    <xf numFmtId="0" fontId="4" fillId="0" borderId="113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90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wrapText="1"/>
    </xf>
    <xf numFmtId="0" fontId="28" fillId="0" borderId="0" xfId="7" applyFont="1" applyFill="1" applyBorder="1" applyAlignment="1">
      <alignment horizontal="center" vertical="center" wrapText="1"/>
    </xf>
    <xf numFmtId="0" fontId="4" fillId="0" borderId="4" xfId="7" applyFont="1" applyFill="1" applyBorder="1" applyAlignment="1">
      <alignment horizontal="center" vertical="center" wrapText="1"/>
    </xf>
    <xf numFmtId="0" fontId="28" fillId="0" borderId="0" xfId="7" applyFont="1" applyFill="1" applyAlignment="1">
      <alignment horizontal="left" wrapText="1"/>
    </xf>
    <xf numFmtId="0" fontId="28" fillId="0" borderId="0" xfId="7" applyFont="1" applyFill="1" applyAlignment="1">
      <alignment horizontal="right"/>
    </xf>
    <xf numFmtId="0" fontId="28" fillId="0" borderId="4" xfId="7" applyFont="1" applyFill="1" applyBorder="1" applyAlignment="1">
      <alignment horizontal="center" vertical="center" wrapText="1"/>
    </xf>
    <xf numFmtId="0" fontId="4" fillId="0" borderId="114" xfId="7" applyFont="1" applyFill="1" applyBorder="1" applyAlignment="1">
      <alignment horizontal="center" vertical="center" wrapText="1"/>
    </xf>
    <xf numFmtId="0" fontId="4" fillId="0" borderId="115" xfId="7" applyFont="1" applyFill="1" applyBorder="1" applyAlignment="1">
      <alignment horizontal="center" vertical="center" wrapText="1"/>
    </xf>
    <xf numFmtId="0" fontId="4" fillId="0" borderId="7" xfId="7" applyFont="1" applyFill="1" applyBorder="1" applyAlignment="1">
      <alignment horizontal="center" vertical="center" wrapText="1"/>
    </xf>
    <xf numFmtId="0" fontId="4" fillId="0" borderId="11" xfId="7" applyFont="1" applyFill="1" applyBorder="1" applyAlignment="1">
      <alignment horizontal="center" vertical="center" wrapText="1"/>
    </xf>
    <xf numFmtId="0" fontId="28" fillId="0" borderId="55" xfId="7" applyFont="1" applyFill="1" applyBorder="1" applyAlignment="1">
      <alignment horizontal="center" vertical="center" wrapText="1"/>
    </xf>
    <xf numFmtId="2" fontId="28" fillId="0" borderId="10" xfId="7" applyNumberFormat="1" applyFont="1" applyFill="1" applyBorder="1" applyAlignment="1">
      <alignment horizontal="center" wrapText="1"/>
    </xf>
    <xf numFmtId="2" fontId="28" fillId="0" borderId="55" xfId="7" applyNumberFormat="1" applyFont="1" applyFill="1" applyBorder="1" applyAlignment="1">
      <alignment horizontal="center" wrapText="1"/>
    </xf>
    <xf numFmtId="2" fontId="28" fillId="0" borderId="8" xfId="7" applyNumberFormat="1" applyFont="1" applyFill="1" applyBorder="1" applyAlignment="1">
      <alignment horizontal="center" wrapText="1"/>
    </xf>
    <xf numFmtId="0" fontId="35" fillId="0" borderId="0" xfId="8" applyFont="1" applyAlignment="1">
      <alignment horizontal="center"/>
    </xf>
    <xf numFmtId="0" fontId="35" fillId="0" borderId="0" xfId="8" applyFont="1" applyAlignment="1">
      <alignment horizontal="left" wrapText="1"/>
    </xf>
    <xf numFmtId="0" fontId="35" fillId="0" borderId="0" xfId="8" applyFont="1" applyAlignment="1">
      <alignment horizontal="left"/>
    </xf>
    <xf numFmtId="0" fontId="32" fillId="0" borderId="0" xfId="0" applyFont="1" applyFill="1" applyBorder="1" applyAlignment="1">
      <alignment horizontal="center" vertical="center" wrapText="1"/>
    </xf>
    <xf numFmtId="0" fontId="4" fillId="0" borderId="114" xfId="0" applyFont="1" applyFill="1" applyBorder="1" applyAlignment="1">
      <alignment horizontal="center" vertical="center" wrapText="1"/>
    </xf>
    <xf numFmtId="0" fontId="4" fillId="0" borderId="11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2" fontId="28" fillId="0" borderId="4" xfId="0" applyNumberFormat="1" applyFont="1" applyFill="1" applyBorder="1" applyAlignment="1">
      <alignment horizontal="center" wrapText="1"/>
    </xf>
    <xf numFmtId="0" fontId="28" fillId="0" borderId="4" xfId="0" applyFont="1" applyFill="1" applyBorder="1" applyAlignment="1">
      <alignment horizont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1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19" xfId="5"/>
    <cellStyle name="Обычный 2" xfId="6"/>
    <cellStyle name="Обычный 2 15" xfId="7"/>
    <cellStyle name="Обычный 2 2" xfId="8"/>
    <cellStyle name="Обычный 2_Аналіз старих тарифів на коміссію27_10_11" xfId="9"/>
    <cellStyle name="Обычный 3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23FF23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DEB3D"/>
      <rgbColor rgb="0099CC00"/>
      <rgbColor rgb="00FFCC00"/>
      <rgbColor rgb="00FF9900"/>
      <rgbColor rgb="00FF3333"/>
      <rgbColor rgb="00666699"/>
      <rgbColor rgb="00B3B3B3"/>
      <rgbColor rgb="00003366"/>
      <rgbColor rgb="0033A3A3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48;%20&#1044;&#1054;&#1050;&#1059;&#1052;&#1045;&#1053;&#1058;&#1067;/&#1059;%20&#1063;%20&#1045;%20&#1058;%20%20&#1055;&#1054;%20%20&#1051;%20&#1042;%20&#1044;/&#1089;%2001.05.2015%20&#1055;&#1086;&#1089;&#1090;%201171%20&#1055;&#1086;&#1089;&#1083;&#1091;&#1075;&#1072;/&#1076;&#1086;&#1076;&#1072;&#1090;&#1086;&#1082;%2011%20&#1082;%20&#1087;&#1086;&#1089;&#1090;%20117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7\d\&#1052;&#1054;&#1048;%20&#1044;&#1054;&#1050;&#1059;&#1052;&#1045;&#1053;&#1058;&#1067;\&#1059;%20&#1063;%20&#1045;%20&#1058;%20%20&#1055;&#1054;%20%20&#1051;%20&#1042;%20&#1044;\1%20&#1057;&#1058;&#1056;&#1059;&#1050;&#1058;&#1059;&#1056;&#1040;%20&#1090;&#1072;&#1088;&#1080;&#1092;&#1086;&#1074;%20&#1087;&#1086;%20&#1042;&#1057;&#1045;&#1052;%20&#1075;&#1088;&#1091;&#1087;&#1087;&#1072;&#1084;%20&#1053;&#1040;&#1064;\&#1057;&#1058;&#1056;&#1059;&#1050;&#1058;&#1059;&#1056;&#1040;%20&#1076;&#1083;&#1103;%20&#1074;&#1089;&#1077;&#1093;%20&#1075;&#1088;&#1091;&#1087;&#1087;%20&#1089;%2001.02.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88;&#1091;&#1082;&#1090;&#1091;&#1088;&#1072;%20&#1090;&#1072;&#1088;&#1080;&#1092;&#1072;%20&#1085;&#1072;%202017%20&#1085;&#1072;%20&#1089;&#1072;&#1081;&#109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1"/>
    </sheetNames>
    <sheetDataSet>
      <sheetData sheetId="0">
        <row r="19">
          <cell r="C19">
            <v>12.733589447086866</v>
          </cell>
          <cell r="D19">
            <v>1.76009035278591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Додаток1"/>
      <sheetName val="Додаток1 скор"/>
      <sheetName val="Додаток2"/>
      <sheetName val="Додаток2 скор"/>
      <sheetName val="Додаток3"/>
      <sheetName val="Додаток3 скор"/>
      <sheetName val="Додаток4"/>
      <sheetName val="Додаток4 скор"/>
      <sheetName val="Двоставк"/>
      <sheetName val="Додаток5"/>
      <sheetName val="Додаток 5"/>
    </sheetNames>
    <sheetDataSet>
      <sheetData sheetId="0" refreshError="1"/>
      <sheetData sheetId="1" refreshError="1"/>
      <sheetData sheetId="2" refreshError="1"/>
      <sheetData sheetId="3">
        <row r="57">
          <cell r="H57">
            <v>205308.924</v>
          </cell>
          <cell r="M57">
            <v>27244.129999999997</v>
          </cell>
          <cell r="R57">
            <v>8938.8220000000001</v>
          </cell>
        </row>
      </sheetData>
      <sheetData sheetId="4">
        <row r="43">
          <cell r="B43" t="str">
            <v xml:space="preserve">резервний фонд (капітал) та дивіденди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Послуга ЦО"/>
      <sheetName val="Додаток1 ТЭ"/>
      <sheetName val="Додаток1 скор"/>
      <sheetName val="Додаток2"/>
      <sheetName val="Додаток2 скор"/>
      <sheetName val="Додаток3"/>
      <sheetName val="Додаток3 скор"/>
      <sheetName val="Додаток4"/>
      <sheetName val="Додаток4 скор"/>
      <sheetName val="Двоставк"/>
      <sheetName val="Додаток5"/>
      <sheetName val="Додаток 5"/>
      <sheetName val="Лист1"/>
    </sheetNames>
    <sheetDataSet>
      <sheetData sheetId="0"/>
      <sheetData sheetId="1"/>
      <sheetData sheetId="2"/>
      <sheetData sheetId="3">
        <row r="31">
          <cell r="V31">
            <v>0</v>
          </cell>
          <cell r="AA31">
            <v>0</v>
          </cell>
        </row>
        <row r="43">
          <cell r="O43">
            <v>387.43</v>
          </cell>
        </row>
        <row r="53">
          <cell r="O53">
            <v>282.01</v>
          </cell>
        </row>
      </sheetData>
      <sheetData sheetId="4"/>
      <sheetData sheetId="5">
        <row r="26">
          <cell r="V26">
            <v>0</v>
          </cell>
          <cell r="AA26">
            <v>0</v>
          </cell>
        </row>
        <row r="35">
          <cell r="O35">
            <v>37.22</v>
          </cell>
        </row>
        <row r="36">
          <cell r="O36">
            <v>0</v>
          </cell>
          <cell r="V36">
            <v>0</v>
          </cell>
          <cell r="AA36">
            <v>0</v>
          </cell>
        </row>
        <row r="41">
          <cell r="O41">
            <v>27.09</v>
          </cell>
        </row>
      </sheetData>
      <sheetData sheetId="6"/>
      <sheetData sheetId="7">
        <row r="25">
          <cell r="AA25">
            <v>0</v>
          </cell>
        </row>
        <row r="34">
          <cell r="O34">
            <v>1.77</v>
          </cell>
        </row>
        <row r="40">
          <cell r="O40">
            <v>1.29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9"/>
  </sheetPr>
  <dimension ref="A1:AW34"/>
  <sheetViews>
    <sheetView topLeftCell="A3" zoomScale="70" zoomScaleNormal="70" zoomScaleSheetLayoutView="70" workbookViewId="0">
      <selection activeCell="E13" sqref="E13"/>
    </sheetView>
  </sheetViews>
  <sheetFormatPr defaultColWidth="11.5703125" defaultRowHeight="12.75"/>
  <cols>
    <col min="1" max="1" width="7.28515625" style="97" customWidth="1"/>
    <col min="2" max="2" width="58" style="1" customWidth="1"/>
    <col min="3" max="3" width="14.28515625" style="1" customWidth="1"/>
    <col min="4" max="4" width="10.5703125" style="1" customWidth="1"/>
    <col min="5" max="5" width="14.140625" style="1" customWidth="1"/>
    <col min="6" max="6" width="12.28515625" style="1" customWidth="1"/>
    <col min="7" max="7" width="13.28515625" style="1" customWidth="1"/>
    <col min="8" max="8" width="12.28515625" style="1" customWidth="1"/>
    <col min="9" max="9" width="13.140625" style="1" customWidth="1"/>
    <col min="10" max="10" width="9.5703125" style="1" customWidth="1"/>
    <col min="11" max="13" width="11.5703125" style="1"/>
    <col min="14" max="14" width="17.85546875" style="1" customWidth="1"/>
    <col min="15" max="15" width="16.42578125" style="1" customWidth="1"/>
    <col min="16" max="16" width="15.85546875" style="1" customWidth="1"/>
    <col min="17" max="17" width="18.5703125" style="1" customWidth="1"/>
    <col min="18" max="16384" width="11.5703125" style="1"/>
  </cols>
  <sheetData>
    <row r="1" spans="1:49" ht="22.5" customHeight="1">
      <c r="A1" s="1051" t="s">
        <v>402</v>
      </c>
      <c r="B1" s="1051"/>
      <c r="C1" s="1051"/>
      <c r="D1" s="1051"/>
      <c r="E1" s="1051"/>
      <c r="F1" s="1051"/>
      <c r="G1" s="1051"/>
      <c r="H1" s="1051"/>
      <c r="I1" s="1051"/>
      <c r="J1" s="1051"/>
    </row>
    <row r="2" spans="1:49" ht="24.75" customHeight="1">
      <c r="A2" s="1050" t="s">
        <v>255</v>
      </c>
      <c r="B2" s="1050"/>
      <c r="C2" s="1050"/>
      <c r="D2" s="1050"/>
      <c r="E2" s="1050"/>
      <c r="F2" s="1050"/>
      <c r="G2" s="1050"/>
      <c r="H2" s="1050"/>
      <c r="I2" s="1050"/>
      <c r="J2" s="1050"/>
    </row>
    <row r="3" spans="1:49" ht="21.75" customHeight="1" thickBot="1">
      <c r="A3" s="96"/>
      <c r="B3" s="690"/>
      <c r="C3" s="690"/>
      <c r="D3" s="690"/>
      <c r="E3" s="690"/>
      <c r="F3" s="690"/>
      <c r="G3" s="690"/>
      <c r="H3" s="690"/>
      <c r="I3" s="690"/>
      <c r="J3" s="133" t="s">
        <v>24</v>
      </c>
    </row>
    <row r="4" spans="1:49" ht="31.5" customHeight="1" thickTop="1">
      <c r="A4" s="1044"/>
      <c r="B4" s="1044"/>
      <c r="C4" s="1040" t="s">
        <v>172</v>
      </c>
      <c r="D4" s="1041"/>
      <c r="E4" s="1047" t="s">
        <v>394</v>
      </c>
      <c r="F4" s="1048"/>
      <c r="G4" s="1048"/>
      <c r="H4" s="1048"/>
      <c r="I4" s="1048"/>
      <c r="J4" s="104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69" customHeight="1">
      <c r="A5" s="1045"/>
      <c r="B5" s="1045"/>
      <c r="C5" s="1042"/>
      <c r="D5" s="1043"/>
      <c r="E5" s="1054" t="s">
        <v>295</v>
      </c>
      <c r="F5" s="1054"/>
      <c r="G5" s="1052" t="s">
        <v>286</v>
      </c>
      <c r="H5" s="1052"/>
      <c r="I5" s="1052" t="s">
        <v>287</v>
      </c>
      <c r="J5" s="105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ht="28.5" customHeight="1">
      <c r="A6" s="1046"/>
      <c r="B6" s="1046"/>
      <c r="C6" s="691" t="s">
        <v>170</v>
      </c>
      <c r="D6" s="58" t="s">
        <v>77</v>
      </c>
      <c r="E6" s="58" t="s">
        <v>170</v>
      </c>
      <c r="F6" s="58" t="s">
        <v>77</v>
      </c>
      <c r="G6" s="58" t="s">
        <v>170</v>
      </c>
      <c r="H6" s="58" t="s">
        <v>77</v>
      </c>
      <c r="I6" s="58" t="s">
        <v>170</v>
      </c>
      <c r="J6" s="692" t="s">
        <v>288</v>
      </c>
      <c r="K6" s="5"/>
      <c r="L6" s="618" t="s">
        <v>380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13.5" customHeight="1">
      <c r="A7" s="700">
        <v>1</v>
      </c>
      <c r="B7" s="701">
        <v>2</v>
      </c>
      <c r="C7" s="693">
        <v>3</v>
      </c>
      <c r="D7" s="59">
        <v>4</v>
      </c>
      <c r="E7" s="59">
        <v>5</v>
      </c>
      <c r="F7" s="59">
        <v>6</v>
      </c>
      <c r="G7" s="59"/>
      <c r="H7" s="59"/>
      <c r="I7" s="59"/>
      <c r="J7" s="69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s="689" customFormat="1" ht="33.75" customHeight="1">
      <c r="A8" s="702">
        <v>1</v>
      </c>
      <c r="B8" s="703" t="s">
        <v>395</v>
      </c>
      <c r="C8" s="695">
        <v>205308.92</v>
      </c>
      <c r="D8" s="687"/>
      <c r="E8" s="687"/>
      <c r="F8" s="687"/>
      <c r="G8" s="687"/>
      <c r="H8" s="687"/>
      <c r="I8" s="687"/>
      <c r="J8" s="696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8"/>
      <c r="V8" s="688"/>
      <c r="W8" s="688"/>
      <c r="X8" s="688"/>
      <c r="Y8" s="688"/>
      <c r="Z8" s="688"/>
      <c r="AA8" s="688"/>
      <c r="AB8" s="688"/>
      <c r="AC8" s="688"/>
      <c r="AD8" s="688"/>
      <c r="AE8" s="688"/>
      <c r="AF8" s="688"/>
      <c r="AG8" s="688"/>
      <c r="AH8" s="688"/>
      <c r="AI8" s="688"/>
      <c r="AJ8" s="688"/>
      <c r="AK8" s="688"/>
      <c r="AL8" s="688"/>
      <c r="AM8" s="688"/>
      <c r="AN8" s="688"/>
      <c r="AO8" s="688"/>
      <c r="AP8" s="688"/>
      <c r="AQ8" s="688"/>
      <c r="AR8" s="688"/>
      <c r="AS8" s="688"/>
      <c r="AT8" s="688"/>
      <c r="AU8" s="688"/>
      <c r="AV8" s="688"/>
      <c r="AW8" s="688"/>
    </row>
    <row r="9" spans="1:49" s="378" customFormat="1" ht="59.25" customHeight="1">
      <c r="A9" s="704">
        <v>2</v>
      </c>
      <c r="B9" s="705" t="s">
        <v>294</v>
      </c>
      <c r="C9" s="697"/>
      <c r="D9" s="379"/>
      <c r="E9" s="681">
        <v>238762.98</v>
      </c>
      <c r="F9" s="681">
        <f>'Додаток1 ТЭ'!J67</f>
        <v>1166.48</v>
      </c>
      <c r="G9" s="377">
        <v>51053.82</v>
      </c>
      <c r="H9" s="377">
        <f>G9/G10*1000</f>
        <v>1166.48</v>
      </c>
      <c r="I9" s="377">
        <v>187709.17</v>
      </c>
      <c r="J9" s="698">
        <f>I9/I11</f>
        <v>161.24</v>
      </c>
    </row>
    <row r="10" spans="1:49" s="8" customFormat="1" ht="51" customHeight="1">
      <c r="A10" s="658" t="s">
        <v>372</v>
      </c>
      <c r="B10" s="706" t="s">
        <v>291</v>
      </c>
      <c r="C10" s="637">
        <v>240869.69</v>
      </c>
      <c r="D10" s="283"/>
      <c r="E10" s="372">
        <f>G10+I10</f>
        <v>204686.74</v>
      </c>
      <c r="F10" s="372"/>
      <c r="G10" s="372">
        <v>43767.42</v>
      </c>
      <c r="H10" s="372"/>
      <c r="I10" s="372">
        <v>160919.32</v>
      </c>
      <c r="J10" s="680"/>
    </row>
    <row r="11" spans="1:49" s="8" customFormat="1" ht="30" customHeight="1">
      <c r="A11" s="658" t="s">
        <v>374</v>
      </c>
      <c r="B11" s="734" t="s">
        <v>290</v>
      </c>
      <c r="C11" s="636"/>
      <c r="D11" s="283"/>
      <c r="E11" s="286">
        <f>G11+I11</f>
        <v>1607.73</v>
      </c>
      <c r="F11" s="286"/>
      <c r="G11" s="286">
        <v>443.54</v>
      </c>
      <c r="H11" s="286"/>
      <c r="I11" s="283">
        <v>1164.19</v>
      </c>
      <c r="J11" s="680"/>
      <c r="M11" s="8" t="s">
        <v>354</v>
      </c>
    </row>
    <row r="12" spans="1:49" s="8" customFormat="1" ht="36" customHeight="1">
      <c r="A12" s="677">
        <v>5</v>
      </c>
      <c r="B12" s="707" t="s">
        <v>276</v>
      </c>
      <c r="C12" s="636"/>
      <c r="D12" s="283"/>
      <c r="E12" s="372">
        <f t="shared" ref="E12:J12" si="0">E14+E15+E16</f>
        <v>1095.07</v>
      </c>
      <c r="F12" s="372">
        <f t="shared" si="0"/>
        <v>5.35</v>
      </c>
      <c r="G12" s="372">
        <f t="shared" si="0"/>
        <v>234.15</v>
      </c>
      <c r="H12" s="372">
        <f t="shared" si="0"/>
        <v>5.35</v>
      </c>
      <c r="I12" s="372">
        <f t="shared" si="0"/>
        <v>860.9</v>
      </c>
      <c r="J12" s="680">
        <f t="shared" si="0"/>
        <v>0.74</v>
      </c>
      <c r="L12" s="581" t="s">
        <v>355</v>
      </c>
      <c r="M12" s="8" t="s">
        <v>356</v>
      </c>
      <c r="O12" s="8">
        <f>5.351551/4.9091344</f>
        <v>1.0901211015937999</v>
      </c>
      <c r="P12" s="8" t="s">
        <v>357</v>
      </c>
      <c r="R12" s="8">
        <f>O12*1004.836</f>
        <v>1095.3929272411101</v>
      </c>
      <c r="S12" s="8" t="s">
        <v>358</v>
      </c>
    </row>
    <row r="13" spans="1:49" s="8" customFormat="1" ht="36" customHeight="1">
      <c r="A13" s="657" t="s">
        <v>94</v>
      </c>
      <c r="B13" s="656" t="s">
        <v>345</v>
      </c>
      <c r="C13" s="636"/>
      <c r="D13" s="283"/>
      <c r="E13" s="373">
        <f>F13*E10/1000</f>
        <v>1095.07</v>
      </c>
      <c r="F13" s="373">
        <v>5.35</v>
      </c>
      <c r="G13" s="373">
        <f>E13/E10*G10</f>
        <v>234.15</v>
      </c>
      <c r="H13" s="373">
        <v>5.35</v>
      </c>
      <c r="I13" s="373">
        <f>G13/G10*I10</f>
        <v>860.9</v>
      </c>
      <c r="J13" s="644">
        <f>J14+J15</f>
        <v>0.74</v>
      </c>
      <c r="L13" s="581"/>
    </row>
    <row r="14" spans="1:49" s="8" customFormat="1" ht="18" customHeight="1">
      <c r="A14" s="657" t="s">
        <v>396</v>
      </c>
      <c r="B14" s="713" t="s">
        <v>53</v>
      </c>
      <c r="C14" s="636"/>
      <c r="D14" s="283"/>
      <c r="E14" s="373">
        <f>E13/1.22</f>
        <v>897.6</v>
      </c>
      <c r="F14" s="286">
        <f t="shared" ref="F14:F20" si="1">E14/$E$10*1000</f>
        <v>4.3899999999999997</v>
      </c>
      <c r="G14" s="373">
        <f>G13/1.22</f>
        <v>191.93</v>
      </c>
      <c r="H14" s="373">
        <f t="shared" ref="H14:H21" si="2">G14/$G$10*1000</f>
        <v>4.3899999999999997</v>
      </c>
      <c r="I14" s="373">
        <f>I13/1.22</f>
        <v>705.66</v>
      </c>
      <c r="J14" s="644">
        <f t="shared" ref="J14:J21" si="3">I14/$I$11</f>
        <v>0.61</v>
      </c>
    </row>
    <row r="15" spans="1:49" s="8" customFormat="1" ht="18" customHeight="1">
      <c r="A15" s="657" t="s">
        <v>397</v>
      </c>
      <c r="B15" s="713" t="s">
        <v>45</v>
      </c>
      <c r="C15" s="636"/>
      <c r="D15" s="283"/>
      <c r="E15" s="373">
        <f>E13-E14</f>
        <v>197.47</v>
      </c>
      <c r="F15" s="286">
        <f t="shared" si="1"/>
        <v>0.96</v>
      </c>
      <c r="G15" s="373">
        <f>G13-G14</f>
        <v>42.22</v>
      </c>
      <c r="H15" s="373">
        <f t="shared" si="2"/>
        <v>0.96</v>
      </c>
      <c r="I15" s="373">
        <f>I13-I14</f>
        <v>155.24</v>
      </c>
      <c r="J15" s="644">
        <f t="shared" si="3"/>
        <v>0.13</v>
      </c>
    </row>
    <row r="16" spans="1:49" s="8" customFormat="1" ht="18" customHeight="1">
      <c r="A16" s="657" t="s">
        <v>95</v>
      </c>
      <c r="B16" s="708" t="s">
        <v>277</v>
      </c>
      <c r="C16" s="636"/>
      <c r="D16" s="283"/>
      <c r="E16" s="373">
        <v>0</v>
      </c>
      <c r="F16" s="286">
        <f t="shared" si="1"/>
        <v>0</v>
      </c>
      <c r="G16" s="373">
        <v>0</v>
      </c>
      <c r="H16" s="373">
        <f t="shared" si="2"/>
        <v>0</v>
      </c>
      <c r="I16" s="373">
        <v>0</v>
      </c>
      <c r="J16" s="644">
        <f t="shared" si="3"/>
        <v>0</v>
      </c>
    </row>
    <row r="17" spans="1:15" s="8" customFormat="1" ht="33" customHeight="1">
      <c r="A17" s="709">
        <v>6</v>
      </c>
      <c r="B17" s="708" t="s">
        <v>278</v>
      </c>
      <c r="C17" s="636"/>
      <c r="D17" s="283"/>
      <c r="E17" s="373">
        <v>0</v>
      </c>
      <c r="F17" s="286">
        <f t="shared" si="1"/>
        <v>0</v>
      </c>
      <c r="G17" s="373">
        <v>0</v>
      </c>
      <c r="H17" s="373">
        <f t="shared" si="2"/>
        <v>0</v>
      </c>
      <c r="I17" s="373">
        <v>0</v>
      </c>
      <c r="J17" s="644">
        <f t="shared" si="3"/>
        <v>0</v>
      </c>
    </row>
    <row r="18" spans="1:15" s="380" customFormat="1" ht="24" customHeight="1">
      <c r="A18" s="709">
        <v>7</v>
      </c>
      <c r="B18" s="710" t="s">
        <v>279</v>
      </c>
      <c r="C18" s="636"/>
      <c r="D18" s="283"/>
      <c r="E18" s="373">
        <f>G18+I18</f>
        <v>46.41</v>
      </c>
      <c r="F18" s="286">
        <f t="shared" si="1"/>
        <v>0.23</v>
      </c>
      <c r="G18" s="373">
        <v>9.92</v>
      </c>
      <c r="H18" s="373">
        <f t="shared" si="2"/>
        <v>0.23</v>
      </c>
      <c r="I18" s="373">
        <v>36.49</v>
      </c>
      <c r="J18" s="644">
        <f t="shared" si="3"/>
        <v>0.03</v>
      </c>
    </row>
    <row r="19" spans="1:15" s="380" customFormat="1" ht="28.5" customHeight="1">
      <c r="A19" s="709">
        <v>8</v>
      </c>
      <c r="B19" s="710" t="s">
        <v>280</v>
      </c>
      <c r="C19" s="636"/>
      <c r="D19" s="283"/>
      <c r="E19" s="373">
        <f>G19+I19</f>
        <v>239904.45</v>
      </c>
      <c r="F19" s="286">
        <f>E19/$E$10*1000-0.01</f>
        <v>1172.05</v>
      </c>
      <c r="G19" s="373">
        <f>G9+G12+G18</f>
        <v>51297.89</v>
      </c>
      <c r="H19" s="373">
        <f>G19/$G$10*1000-0.01</f>
        <v>1172.05</v>
      </c>
      <c r="I19" s="373">
        <f>I9+I12+I18</f>
        <v>188606.56</v>
      </c>
      <c r="J19" s="644">
        <f t="shared" si="3"/>
        <v>162.01</v>
      </c>
      <c r="K19" s="585" t="s">
        <v>328</v>
      </c>
    </row>
    <row r="20" spans="1:15" s="380" customFormat="1" ht="18" customHeight="1">
      <c r="A20" s="709">
        <v>9</v>
      </c>
      <c r="B20" s="710" t="s">
        <v>281</v>
      </c>
      <c r="C20" s="636"/>
      <c r="D20" s="283"/>
      <c r="E20" s="373">
        <f>G20+I20</f>
        <v>2606.06</v>
      </c>
      <c r="F20" s="286">
        <f t="shared" si="1"/>
        <v>12.73</v>
      </c>
      <c r="G20" s="373">
        <v>557.30999999999995</v>
      </c>
      <c r="H20" s="373">
        <f t="shared" si="2"/>
        <v>12.73</v>
      </c>
      <c r="I20" s="373">
        <v>2048.75</v>
      </c>
      <c r="J20" s="644">
        <f t="shared" si="3"/>
        <v>1.76</v>
      </c>
      <c r="K20" s="380">
        <f>'[1]11'!$C$19*G10/1000</f>
        <v>557.31635743821903</v>
      </c>
      <c r="L20" s="380">
        <f>'[1]11'!$D$19*I11</f>
        <v>2049.0795878098302</v>
      </c>
    </row>
    <row r="21" spans="1:15" s="8" customFormat="1" ht="33.75" customHeight="1">
      <c r="A21" s="709">
        <v>10</v>
      </c>
      <c r="B21" s="708" t="s">
        <v>282</v>
      </c>
      <c r="C21" s="636"/>
      <c r="D21" s="283"/>
      <c r="E21" s="373">
        <f>E19+E20</f>
        <v>242510.51</v>
      </c>
      <c r="F21" s="286">
        <f>E21/$E$10*1000</f>
        <v>1184.79</v>
      </c>
      <c r="G21" s="373">
        <f>G19+G20</f>
        <v>51855.199999999997</v>
      </c>
      <c r="H21" s="373">
        <f t="shared" si="2"/>
        <v>1184.79</v>
      </c>
      <c r="I21" s="373">
        <f>I19+I20+0.01</f>
        <v>190655.32</v>
      </c>
      <c r="J21" s="644">
        <f t="shared" si="3"/>
        <v>163.77000000000001</v>
      </c>
      <c r="K21" s="280">
        <f>K20/G10*1000</f>
        <v>12.733589447086899</v>
      </c>
      <c r="L21" s="280">
        <f>L20/I11</f>
        <v>1.76009035278591</v>
      </c>
      <c r="M21" s="280" t="s">
        <v>330</v>
      </c>
      <c r="N21" s="280"/>
      <c r="O21" s="280"/>
    </row>
    <row r="22" spans="1:15" s="8" customFormat="1" ht="18" customHeight="1">
      <c r="A22" s="711">
        <v>11</v>
      </c>
      <c r="B22" s="707" t="s">
        <v>283</v>
      </c>
      <c r="C22" s="637">
        <f>C24+C25-0.01</f>
        <v>242510.49</v>
      </c>
      <c r="D22" s="283"/>
      <c r="E22" s="372">
        <f>E21</f>
        <v>242510.51</v>
      </c>
      <c r="F22" s="283"/>
      <c r="G22" s="372">
        <f>G21</f>
        <v>51855.199999999997</v>
      </c>
      <c r="H22" s="372" t="s">
        <v>289</v>
      </c>
      <c r="I22" s="372">
        <f>I21</f>
        <v>190655.32</v>
      </c>
      <c r="J22" s="680" t="s">
        <v>289</v>
      </c>
    </row>
    <row r="23" spans="1:15" s="380" customFormat="1" ht="36" customHeight="1">
      <c r="A23" s="722" t="s">
        <v>398</v>
      </c>
      <c r="B23" s="723" t="s">
        <v>296</v>
      </c>
      <c r="C23" s="724" t="s">
        <v>289</v>
      </c>
      <c r="D23" s="725">
        <f>D24+D25</f>
        <v>1009.56</v>
      </c>
      <c r="E23" s="726" t="s">
        <v>289</v>
      </c>
      <c r="F23" s="725">
        <f>F24+F25</f>
        <v>1184.79</v>
      </c>
      <c r="G23" s="726" t="s">
        <v>289</v>
      </c>
      <c r="H23" s="726">
        <f>H24+H25</f>
        <v>1184.79</v>
      </c>
      <c r="I23" s="726"/>
      <c r="J23" s="727">
        <f>J24+J25</f>
        <v>163.77000000000001</v>
      </c>
    </row>
    <row r="24" spans="1:15" s="486" customFormat="1" ht="24.75" customHeight="1">
      <c r="A24" s="676" t="s">
        <v>83</v>
      </c>
      <c r="B24" s="720" t="s">
        <v>284</v>
      </c>
      <c r="C24" s="641">
        <f>E24</f>
        <v>238762.98</v>
      </c>
      <c r="D24" s="376">
        <f>C24/C10*1000</f>
        <v>991.25</v>
      </c>
      <c r="E24" s="375">
        <f>E9</f>
        <v>238762.98</v>
      </c>
      <c r="F24" s="376">
        <f>E24/$E$10*1000</f>
        <v>1166.48</v>
      </c>
      <c r="G24" s="375">
        <f>G9</f>
        <v>51053.82</v>
      </c>
      <c r="H24" s="375">
        <f>G24/$G$10*1000</f>
        <v>1166.48</v>
      </c>
      <c r="I24" s="375">
        <f>I9</f>
        <v>187709.17</v>
      </c>
      <c r="J24" s="660">
        <f>I24/$I$11</f>
        <v>161.24</v>
      </c>
    </row>
    <row r="25" spans="1:15" s="486" customFormat="1" ht="22.5" customHeight="1">
      <c r="A25" s="676" t="s">
        <v>84</v>
      </c>
      <c r="B25" s="720" t="s">
        <v>285</v>
      </c>
      <c r="C25" s="653">
        <f>E25</f>
        <v>3747.52</v>
      </c>
      <c r="D25" s="376">
        <f>F25</f>
        <v>18.309999999999999</v>
      </c>
      <c r="E25" s="375">
        <f>G25+I25+0.01</f>
        <v>3747.52</v>
      </c>
      <c r="F25" s="376">
        <f>E25/$E$10*1000</f>
        <v>18.309999999999999</v>
      </c>
      <c r="G25" s="375">
        <f>G12+G18+G20-0.01</f>
        <v>801.37</v>
      </c>
      <c r="H25" s="375">
        <f>G25/$G$10*1000</f>
        <v>18.309999999999999</v>
      </c>
      <c r="I25" s="375">
        <f>I12+I18+I20</f>
        <v>2946.14</v>
      </c>
      <c r="J25" s="660">
        <f>I25/$I$11</f>
        <v>2.5299999999999998</v>
      </c>
    </row>
    <row r="26" spans="1:15" s="486" customFormat="1" ht="26.25" customHeight="1">
      <c r="A26" s="675" t="s">
        <v>292</v>
      </c>
      <c r="B26" s="721" t="s">
        <v>401</v>
      </c>
      <c r="C26" s="652"/>
      <c r="D26" s="583"/>
      <c r="E26" s="582"/>
      <c r="F26" s="283">
        <f>F23*0.2</f>
        <v>236.96</v>
      </c>
      <c r="G26" s="283"/>
      <c r="H26" s="283">
        <f>H23*20%</f>
        <v>236.96</v>
      </c>
      <c r="I26" s="283"/>
      <c r="J26" s="699">
        <f>J23*20%</f>
        <v>32.75</v>
      </c>
    </row>
    <row r="27" spans="1:15" s="8" customFormat="1" ht="42" customHeight="1">
      <c r="A27" s="722" t="s">
        <v>293</v>
      </c>
      <c r="B27" s="730" t="s">
        <v>403</v>
      </c>
      <c r="C27" s="637"/>
      <c r="D27" s="283"/>
      <c r="E27" s="372"/>
      <c r="F27" s="583"/>
      <c r="G27" s="582"/>
      <c r="H27" s="728">
        <f>H23*1.2</f>
        <v>1421.75</v>
      </c>
      <c r="I27" s="583"/>
      <c r="J27" s="661">
        <f>J23*1.2</f>
        <v>196.52</v>
      </c>
    </row>
    <row r="28" spans="1:15" s="8" customFormat="1" ht="59.25" customHeight="1">
      <c r="A28" s="722" t="s">
        <v>399</v>
      </c>
      <c r="B28" s="730" t="s">
        <v>404</v>
      </c>
      <c r="C28" s="636"/>
      <c r="D28" s="283"/>
      <c r="E28" s="373"/>
      <c r="F28" s="583"/>
      <c r="G28" s="376"/>
      <c r="H28" s="376" t="s">
        <v>405</v>
      </c>
      <c r="I28" s="376"/>
      <c r="J28" s="729">
        <f>J27/5.676-0.01</f>
        <v>34.61</v>
      </c>
    </row>
    <row r="29" spans="1:15" s="2" customFormat="1" ht="30.75" customHeight="1" thickBot="1">
      <c r="A29" s="714" t="s">
        <v>400</v>
      </c>
      <c r="B29" s="715" t="s">
        <v>329</v>
      </c>
      <c r="C29" s="716"/>
      <c r="D29" s="717"/>
      <c r="E29" s="717"/>
      <c r="F29" s="718">
        <v>172</v>
      </c>
      <c r="G29" s="718"/>
      <c r="H29" s="718"/>
      <c r="I29" s="718"/>
      <c r="J29" s="719"/>
    </row>
    <row r="30" spans="1:15" s="8" customFormat="1" ht="18.75" customHeight="1" thickTop="1">
      <c r="A30" s="204"/>
      <c r="B30" s="205"/>
      <c r="C30" s="206"/>
      <c r="D30" s="206"/>
      <c r="E30" s="207"/>
      <c r="F30" s="207"/>
      <c r="G30" s="207"/>
      <c r="H30" s="207"/>
      <c r="I30" s="207"/>
      <c r="J30" s="207"/>
    </row>
    <row r="33" spans="1:12" s="2" customFormat="1" ht="20.25">
      <c r="A33" s="735"/>
      <c r="B33" s="733" t="s">
        <v>390</v>
      </c>
      <c r="I33" s="164" t="s">
        <v>391</v>
      </c>
    </row>
    <row r="34" spans="1:12" s="134" customFormat="1" ht="19.5" customHeight="1">
      <c r="B34" s="272"/>
      <c r="C34" s="272"/>
      <c r="D34" s="272"/>
      <c r="E34" s="272"/>
      <c r="F34" s="272"/>
      <c r="G34" s="272"/>
      <c r="K34" s="294"/>
      <c r="L34" s="294"/>
    </row>
  </sheetData>
  <sheetProtection formatCells="0" selectLockedCells="1" selectUnlockedCells="1"/>
  <customSheetViews>
    <customSheetView guid="{8839ED87-9C42-4CC2-A1AD-6EF9611832A1}" scale="85" showPageBreaks="1" fitToPage="1" printArea="1" hiddenRows="1" hiddenColumns="1" view="pageBreakPreview">
      <pane xSplit="2" ySplit="10" topLeftCell="C11" activePane="bottomRight" state="frozen"/>
      <selection pane="bottomRight" activeCell="G15" sqref="G15"/>
      <pageMargins left="0.17" right="0.17" top="0.32" bottom="0.74803149606299213" header="0.17" footer="0.31496062992125984"/>
      <pageSetup paperSize="9" scale="72" orientation="portrait" verticalDpi="300" r:id="rId1"/>
    </customSheetView>
    <customSheetView guid="{B233FDC7-B79B-43AD-9288-8B6C8ACB6ACB}" scale="55" showPageBreaks="1" fitToPage="1" printArea="1" view="pageBreakPreview">
      <pane xSplit="2" ySplit="10" topLeftCell="C11" activePane="bottomRight" state="frozen"/>
      <selection pane="bottomRight" activeCell="K21" sqref="K21"/>
      <pageMargins left="0.62992125984251968" right="0.23622047244094491" top="0.32" bottom="0.74803149606299213" header="0.31496062992125984" footer="0.31496062992125984"/>
      <pageSetup paperSize="9" scale="67" orientation="portrait" verticalDpi="300" r:id="rId2"/>
    </customSheetView>
    <customSheetView guid="{BF9F446D-D2F9-4EAA-BD71-B531E336462E}" scale="85" showPageBreaks="1" fitToPage="1" printArea="1" hiddenRows="1" hiddenColumns="1" view="pageBreakPreview">
      <pane xSplit="2" ySplit="10" topLeftCell="C11" activePane="bottomRight" state="frozen"/>
      <selection pane="bottomRight" activeCell="G13" sqref="G13"/>
      <pageMargins left="0.17" right="0.17" top="0.32" bottom="0.74803149606299213" header="0.17" footer="0.31496062992125984"/>
      <pageSetup paperSize="9" scale="72" orientation="portrait" verticalDpi="300" r:id="rId3"/>
    </customSheetView>
  </customSheetViews>
  <mergeCells count="9">
    <mergeCell ref="C4:D5"/>
    <mergeCell ref="A4:A6"/>
    <mergeCell ref="E4:J4"/>
    <mergeCell ref="A2:J2"/>
    <mergeCell ref="A1:J1"/>
    <mergeCell ref="G5:H5"/>
    <mergeCell ref="B4:B6"/>
    <mergeCell ref="I5:J5"/>
    <mergeCell ref="E5:F5"/>
  </mergeCells>
  <phoneticPr fontId="6" type="noConversion"/>
  <pageMargins left="0.11811023622047245" right="7.874015748031496E-2" top="0.59055118110236227" bottom="0.19685039370078741" header="0" footer="0"/>
  <pageSetup paperSize="9" scale="56" orientation="landscape" verticalDpi="300"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56"/>
  <sheetViews>
    <sheetView view="pageBreakPreview" topLeftCell="A48" zoomScale="85" zoomScaleNormal="100" zoomScaleSheetLayoutView="85" workbookViewId="0">
      <selection activeCell="M56" sqref="M56"/>
    </sheetView>
  </sheetViews>
  <sheetFormatPr defaultRowHeight="12.75"/>
  <cols>
    <col min="1" max="1" width="8.42578125" customWidth="1"/>
    <col min="2" max="2" width="40.7109375" customWidth="1"/>
    <col min="3" max="3" width="10.7109375" customWidth="1"/>
    <col min="4" max="4" width="10.28515625" customWidth="1"/>
    <col min="5" max="5" width="10.5703125" customWidth="1"/>
    <col min="6" max="6" width="10" customWidth="1"/>
    <col min="7" max="7" width="10.5703125" customWidth="1"/>
    <col min="8" max="8" width="10.140625" customWidth="1"/>
    <col min="9" max="9" width="10.42578125" customWidth="1"/>
    <col min="10" max="10" width="10.140625" customWidth="1"/>
  </cols>
  <sheetData>
    <row r="1" spans="1:12" ht="19.5">
      <c r="A1" s="165"/>
      <c r="B1" s="165"/>
      <c r="C1" s="165"/>
      <c r="D1" s="165"/>
      <c r="E1" s="166"/>
      <c r="F1" s="166"/>
      <c r="G1" s="165"/>
      <c r="H1" s="167" t="s">
        <v>138</v>
      </c>
      <c r="I1" s="168"/>
      <c r="J1" s="169"/>
    </row>
    <row r="2" spans="1:12" ht="19.5">
      <c r="A2" s="165"/>
      <c r="B2" s="165"/>
      <c r="C2" s="165"/>
      <c r="D2" s="165"/>
      <c r="E2" s="166"/>
      <c r="F2" s="166"/>
      <c r="G2" s="165"/>
      <c r="H2" s="170" t="s">
        <v>159</v>
      </c>
      <c r="I2" s="171"/>
      <c r="J2" s="169"/>
    </row>
    <row r="3" spans="1:12" ht="18.75">
      <c r="A3" s="165"/>
      <c r="B3" s="165"/>
      <c r="C3" s="165"/>
      <c r="D3" s="165"/>
      <c r="E3" s="166"/>
      <c r="F3" s="166"/>
      <c r="G3" s="165"/>
      <c r="H3" s="62" t="s">
        <v>169</v>
      </c>
      <c r="I3" s="171"/>
      <c r="J3" s="169"/>
    </row>
    <row r="4" spans="1:12" ht="13.5">
      <c r="A4" s="165"/>
      <c r="B4" s="165"/>
      <c r="C4" s="165"/>
      <c r="D4" s="165"/>
      <c r="E4" s="165"/>
      <c r="F4" s="165"/>
      <c r="G4" s="165"/>
      <c r="H4" s="165"/>
      <c r="I4" s="165"/>
      <c r="J4" s="165"/>
    </row>
    <row r="5" spans="1:12" ht="18.75">
      <c r="A5" s="1196" t="s">
        <v>206</v>
      </c>
      <c r="B5" s="1196"/>
      <c r="C5" s="1196"/>
      <c r="D5" s="1196"/>
      <c r="E5" s="1196"/>
      <c r="F5" s="1196"/>
      <c r="G5" s="1196"/>
      <c r="H5" s="1196"/>
      <c r="I5" s="1196"/>
      <c r="J5" s="1196"/>
    </row>
    <row r="6" spans="1:12" ht="18.75">
      <c r="A6" s="1196" t="str">
        <f>'Послуга ЦО'!A2</f>
        <v>КП «Павлоградтеплоенерго»</v>
      </c>
      <c r="B6" s="1196"/>
      <c r="C6" s="1196"/>
      <c r="D6" s="1196"/>
      <c r="E6" s="1196"/>
      <c r="F6" s="1196"/>
      <c r="G6" s="1196"/>
      <c r="H6" s="1196"/>
      <c r="I6" s="1196"/>
      <c r="J6" s="1196"/>
    </row>
    <row r="7" spans="1:12" ht="15.75">
      <c r="A7" s="172"/>
      <c r="B7" s="172"/>
      <c r="C7" s="173"/>
      <c r="D7" s="173"/>
      <c r="E7" s="173"/>
      <c r="F7" s="173"/>
      <c r="G7" s="173"/>
      <c r="H7" s="173"/>
      <c r="I7" s="165"/>
      <c r="J7" s="174" t="s">
        <v>3</v>
      </c>
    </row>
    <row r="8" spans="1:12" ht="52.5" customHeight="1">
      <c r="A8" s="1201" t="s">
        <v>171</v>
      </c>
      <c r="B8" s="1203" t="s">
        <v>4</v>
      </c>
      <c r="C8" s="1197" t="s">
        <v>210</v>
      </c>
      <c r="D8" s="1197"/>
      <c r="E8" s="1197" t="s">
        <v>163</v>
      </c>
      <c r="F8" s="1197"/>
      <c r="G8" s="1197" t="s">
        <v>161</v>
      </c>
      <c r="H8" s="1197"/>
      <c r="I8" s="1197" t="s">
        <v>162</v>
      </c>
      <c r="J8" s="1197"/>
    </row>
    <row r="9" spans="1:12" ht="45">
      <c r="A9" s="1202"/>
      <c r="B9" s="1204"/>
      <c r="C9" s="175" t="s">
        <v>170</v>
      </c>
      <c r="D9" s="175" t="s">
        <v>139</v>
      </c>
      <c r="E9" s="175" t="s">
        <v>170</v>
      </c>
      <c r="F9" s="175" t="s">
        <v>139</v>
      </c>
      <c r="G9" s="175" t="s">
        <v>170</v>
      </c>
      <c r="H9" s="175" t="s">
        <v>139</v>
      </c>
      <c r="I9" s="175" t="s">
        <v>170</v>
      </c>
      <c r="J9" s="175" t="s">
        <v>139</v>
      </c>
    </row>
    <row r="10" spans="1:12" ht="13.5">
      <c r="A10" s="176">
        <v>1</v>
      </c>
      <c r="B10" s="177">
        <v>2</v>
      </c>
      <c r="C10" s="177">
        <v>3</v>
      </c>
      <c r="D10" s="177">
        <v>4</v>
      </c>
      <c r="E10" s="177">
        <v>5</v>
      </c>
      <c r="F10" s="177">
        <v>6</v>
      </c>
      <c r="G10" s="177">
        <v>7</v>
      </c>
      <c r="H10" s="177">
        <v>8</v>
      </c>
      <c r="I10" s="177">
        <v>9</v>
      </c>
      <c r="J10" s="178">
        <v>10</v>
      </c>
    </row>
    <row r="11" spans="1:12" ht="33">
      <c r="A11" s="179">
        <v>1</v>
      </c>
      <c r="B11" s="180" t="s">
        <v>118</v>
      </c>
      <c r="C11" s="181">
        <f>E11+G11+I11</f>
        <v>241491.87</v>
      </c>
      <c r="D11" s="181"/>
      <c r="E11" s="181">
        <f>'Додаток2 скор'!H61</f>
        <v>205308.92</v>
      </c>
      <c r="F11" s="181"/>
      <c r="G11" s="181">
        <f>'Додаток2 скор'!P61</f>
        <v>27244.13</v>
      </c>
      <c r="H11" s="181"/>
      <c r="I11" s="181">
        <f>'Додаток2 скор'!U61</f>
        <v>8938.82</v>
      </c>
      <c r="J11" s="182"/>
    </row>
    <row r="12" spans="1:12" ht="49.5">
      <c r="A12" s="179">
        <v>2</v>
      </c>
      <c r="B12" s="180" t="s">
        <v>119</v>
      </c>
      <c r="C12" s="181">
        <f>E12+G12+I12</f>
        <v>185.72</v>
      </c>
      <c r="D12" s="181"/>
      <c r="E12" s="181">
        <v>154.71</v>
      </c>
      <c r="F12" s="181"/>
      <c r="G12" s="181">
        <v>26.16</v>
      </c>
      <c r="H12" s="181"/>
      <c r="I12" s="181">
        <v>4.8499999999999996</v>
      </c>
      <c r="J12" s="182"/>
      <c r="L12" s="203"/>
    </row>
    <row r="13" spans="1:12" ht="18.75">
      <c r="A13" s="1200" t="s">
        <v>0</v>
      </c>
      <c r="B13" s="1200"/>
      <c r="C13" s="1200"/>
      <c r="D13" s="1200"/>
      <c r="E13" s="1200"/>
      <c r="F13" s="1200"/>
      <c r="G13" s="1200"/>
      <c r="H13" s="1200"/>
      <c r="I13" s="1200"/>
      <c r="J13" s="1200"/>
    </row>
    <row r="14" spans="1:12" ht="49.5">
      <c r="A14" s="183">
        <v>3</v>
      </c>
      <c r="B14" s="184" t="s">
        <v>150</v>
      </c>
      <c r="C14" s="181">
        <f>ROUNDDOWN(C15+C20,2)</f>
        <v>119385.06</v>
      </c>
      <c r="D14" s="181"/>
      <c r="E14" s="181">
        <f>E15+E20</f>
        <v>60797.7</v>
      </c>
      <c r="F14" s="181"/>
      <c r="G14" s="181">
        <f>G15+G20</f>
        <v>44113.64</v>
      </c>
      <c r="H14" s="181"/>
      <c r="I14" s="181">
        <f>I15+I20</f>
        <v>14473.72</v>
      </c>
      <c r="J14" s="181"/>
    </row>
    <row r="15" spans="1:12" ht="16.5">
      <c r="A15" s="185" t="s">
        <v>62</v>
      </c>
      <c r="B15" s="184" t="s">
        <v>207</v>
      </c>
      <c r="C15" s="202">
        <f>SUM(C16:C19)</f>
        <v>100091.49</v>
      </c>
      <c r="D15" s="181">
        <f>ROUNDDOWN(C15/C11*1000,4)</f>
        <v>414.47</v>
      </c>
      <c r="E15" s="181">
        <f>SUM(E16:E19)</f>
        <v>45570.86</v>
      </c>
      <c r="F15" s="181">
        <f>ROUND(E15/E11*1000,2)</f>
        <v>221.96</v>
      </c>
      <c r="G15" s="181">
        <f>SUM(G16:G19)</f>
        <v>41051.57</v>
      </c>
      <c r="H15" s="181">
        <f>ROUNDUP(G15/G11*1000,2)</f>
        <v>1506.81</v>
      </c>
      <c r="I15" s="181">
        <f>SUM(I16:I19)</f>
        <v>13469.06</v>
      </c>
      <c r="J15" s="181">
        <f>ROUNDUP(I15/I11*1000,2)</f>
        <v>1506.81</v>
      </c>
    </row>
    <row r="16" spans="1:12" ht="49.5">
      <c r="A16" s="186" t="s">
        <v>5</v>
      </c>
      <c r="B16" s="180" t="s">
        <v>6</v>
      </c>
      <c r="C16" s="187">
        <f>E16+G16+I16</f>
        <v>87209.27</v>
      </c>
      <c r="D16" s="187">
        <f>C16/$C$11*1000</f>
        <v>361.13</v>
      </c>
      <c r="E16" s="187">
        <f>'Додаток2 скор'!H11</f>
        <v>36054.74</v>
      </c>
      <c r="F16" s="187">
        <f>E16/$E$11*1000</f>
        <v>175.61</v>
      </c>
      <c r="G16" s="187">
        <f>'Додаток2 скор'!P11</f>
        <v>38517.050000000003</v>
      </c>
      <c r="H16" s="187">
        <f>G16/$G$11*1000</f>
        <v>1413.77</v>
      </c>
      <c r="I16" s="187">
        <f>'Додаток2 скор'!U11</f>
        <v>12637.48</v>
      </c>
      <c r="J16" s="187">
        <f>I16/$I$11*1000</f>
        <v>1413.77</v>
      </c>
    </row>
    <row r="17" spans="1:10" ht="49.5">
      <c r="A17" s="186" t="s">
        <v>7</v>
      </c>
      <c r="B17" s="180" t="s">
        <v>8</v>
      </c>
      <c r="C17" s="187">
        <f>E17+G17+I17</f>
        <v>12882.22</v>
      </c>
      <c r="D17" s="187">
        <f>C17/$C$11*1000</f>
        <v>53.34</v>
      </c>
      <c r="E17" s="187">
        <f>'Додаток2 скор'!H18</f>
        <v>9516.1200000000008</v>
      </c>
      <c r="F17" s="187">
        <f>E17/$E$11*1000</f>
        <v>46.35</v>
      </c>
      <c r="G17" s="187">
        <f>'Додаток2 скор'!P18</f>
        <v>2534.52</v>
      </c>
      <c r="H17" s="187">
        <f>G17/$G$11*1000</f>
        <v>93.03</v>
      </c>
      <c r="I17" s="187">
        <f>'Додаток2 скор'!U18</f>
        <v>831.58</v>
      </c>
      <c r="J17" s="187">
        <f>I17/$I$11*1000</f>
        <v>93.03</v>
      </c>
    </row>
    <row r="18" spans="1:10" ht="49.5">
      <c r="A18" s="186" t="s">
        <v>9</v>
      </c>
      <c r="B18" s="180" t="s">
        <v>216</v>
      </c>
      <c r="C18" s="187">
        <f>E18+G18+I18</f>
        <v>0</v>
      </c>
      <c r="D18" s="187">
        <f>C18/$C$11*1000</f>
        <v>0</v>
      </c>
      <c r="E18" s="187">
        <f>'Додаток2 скор'!K21</f>
        <v>0</v>
      </c>
      <c r="F18" s="187">
        <f>E18/$E$11*1000</f>
        <v>0</v>
      </c>
      <c r="G18" s="187">
        <f>'Додаток2 скор'!P21</f>
        <v>0</v>
      </c>
      <c r="H18" s="187">
        <f>G18/$G$11*1000</f>
        <v>0</v>
      </c>
      <c r="I18" s="187">
        <f>'Додаток2 скор'!U21</f>
        <v>0</v>
      </c>
      <c r="J18" s="187">
        <f>I18/$I$11*1000</f>
        <v>0</v>
      </c>
    </row>
    <row r="19" spans="1:10" ht="16.5">
      <c r="A19" s="186" t="s">
        <v>217</v>
      </c>
      <c r="B19" s="180" t="s">
        <v>218</v>
      </c>
      <c r="C19" s="187">
        <f>E19+G19+I19</f>
        <v>0</v>
      </c>
      <c r="D19" s="187">
        <f>C19/$C$11*1000</f>
        <v>0</v>
      </c>
      <c r="E19" s="187">
        <f>'Додаток2 скор'!K24</f>
        <v>0</v>
      </c>
      <c r="F19" s="187">
        <f>E19/$E$11*1000</f>
        <v>0</v>
      </c>
      <c r="G19" s="187">
        <f>'Додаток2 скор'!P24</f>
        <v>0</v>
      </c>
      <c r="H19" s="187">
        <f>G19/$G$11*1000</f>
        <v>0</v>
      </c>
      <c r="I19" s="187">
        <f>'Додаток2 скор'!U24</f>
        <v>0</v>
      </c>
      <c r="J19" s="187">
        <f>I19/$I$11*1000</f>
        <v>0</v>
      </c>
    </row>
    <row r="20" spans="1:10" ht="49.5">
      <c r="A20" s="185" t="s">
        <v>63</v>
      </c>
      <c r="B20" s="184" t="s">
        <v>208</v>
      </c>
      <c r="C20" s="181">
        <f>E20+G20+I20</f>
        <v>19293.57</v>
      </c>
      <c r="D20" s="181">
        <f>ROUND(C20/C12/12*1000,2)</f>
        <v>8657.1</v>
      </c>
      <c r="E20" s="181">
        <f>'Додаток2 скор'!H51-Двоставк!E15</f>
        <v>15226.84</v>
      </c>
      <c r="F20" s="181">
        <f>E20/E12/12*1000</f>
        <v>8201.82</v>
      </c>
      <c r="G20" s="78">
        <f>'Додаток2 скор'!P51-Двоставк!G15</f>
        <v>3062.07</v>
      </c>
      <c r="H20" s="181">
        <f>G20/G12/12*1000</f>
        <v>9754.2999999999993</v>
      </c>
      <c r="I20" s="181">
        <f>'Додаток2 скор'!U51-Двоставк!I15</f>
        <v>1004.66</v>
      </c>
      <c r="J20" s="181">
        <f>I20/I12/12*1000</f>
        <v>17262.2</v>
      </c>
    </row>
    <row r="21" spans="1:10" ht="49.5">
      <c r="A21" s="183">
        <v>4</v>
      </c>
      <c r="B21" s="184" t="s">
        <v>151</v>
      </c>
      <c r="C21" s="181">
        <f>ROUNDUP(E21+G21+I21,2)</f>
        <v>0</v>
      </c>
      <c r="D21" s="181"/>
      <c r="E21" s="181">
        <f>'Додаток2 скор'!H53</f>
        <v>0</v>
      </c>
      <c r="F21" s="181"/>
      <c r="G21" s="181">
        <f>'Додаток2 скор'!P53</f>
        <v>0</v>
      </c>
      <c r="H21" s="181"/>
      <c r="I21" s="181">
        <f>'Додаток2 скор'!U53</f>
        <v>0</v>
      </c>
      <c r="J21" s="181"/>
    </row>
    <row r="22" spans="1:10" ht="16.5">
      <c r="A22" s="186" t="s">
        <v>92</v>
      </c>
      <c r="B22" s="180" t="s">
        <v>10</v>
      </c>
      <c r="C22" s="187">
        <f>E22+G22+I22</f>
        <v>0</v>
      </c>
      <c r="D22" s="187">
        <f>ROUND(C22/C11*1000,2)</f>
        <v>0</v>
      </c>
      <c r="E22" s="187">
        <f>E$21/$E$14*E$15</f>
        <v>0</v>
      </c>
      <c r="F22" s="187">
        <f>ROUND(E22/E11*1000,2)</f>
        <v>0</v>
      </c>
      <c r="G22" s="187">
        <f>G$21/$G$14*G$15</f>
        <v>0</v>
      </c>
      <c r="H22" s="187">
        <f>G22/G11*1000</f>
        <v>0</v>
      </c>
      <c r="I22" s="187">
        <f>I$21/$I$14*I$15</f>
        <v>0</v>
      </c>
      <c r="J22" s="187">
        <f>I22/I11*1000</f>
        <v>0</v>
      </c>
    </row>
    <row r="23" spans="1:10" ht="16.5">
      <c r="A23" s="186" t="s">
        <v>93</v>
      </c>
      <c r="B23" s="180" t="s">
        <v>11</v>
      </c>
      <c r="C23" s="187">
        <f>E23+G23+I23</f>
        <v>0</v>
      </c>
      <c r="D23" s="187">
        <f>ROUND(C23/12/C12*1000,2)</f>
        <v>0</v>
      </c>
      <c r="E23" s="187">
        <f>E$21/$E$14*E$20</f>
        <v>0</v>
      </c>
      <c r="F23" s="187">
        <f>ROUND(E23/12/E12*1000,2)</f>
        <v>0</v>
      </c>
      <c r="G23" s="187">
        <f>G$21/$G$14*G$20</f>
        <v>0</v>
      </c>
      <c r="H23" s="187">
        <f>ROUNDUP(G23/G12/12*1000,2)</f>
        <v>0</v>
      </c>
      <c r="I23" s="187">
        <f>I$21/$I$14*I$20</f>
        <v>0</v>
      </c>
      <c r="J23" s="187">
        <f>I23/I12/12*1000</f>
        <v>0</v>
      </c>
    </row>
    <row r="24" spans="1:10" ht="66">
      <c r="A24" s="183">
        <v>5</v>
      </c>
      <c r="B24" s="184" t="s">
        <v>153</v>
      </c>
      <c r="C24" s="181"/>
      <c r="D24" s="181">
        <f>ROUNDUP(D25+D26,2)</f>
        <v>414.47</v>
      </c>
      <c r="E24" s="181"/>
      <c r="F24" s="181">
        <f>F25+F26</f>
        <v>221.96</v>
      </c>
      <c r="G24" s="181"/>
      <c r="H24" s="181">
        <f>H25+H26</f>
        <v>1506.81</v>
      </c>
      <c r="I24" s="181"/>
      <c r="J24" s="181">
        <f>ROUNDDOWN(J25+J26,2)</f>
        <v>1506.81</v>
      </c>
    </row>
    <row r="25" spans="1:10" ht="16.5">
      <c r="A25" s="186" t="s">
        <v>94</v>
      </c>
      <c r="B25" s="180" t="s">
        <v>110</v>
      </c>
      <c r="C25" s="187"/>
      <c r="D25" s="187">
        <f>D15</f>
        <v>414.47</v>
      </c>
      <c r="E25" s="187"/>
      <c r="F25" s="187">
        <f>F15</f>
        <v>221.96</v>
      </c>
      <c r="G25" s="187"/>
      <c r="H25" s="187">
        <f>H15</f>
        <v>1506.81</v>
      </c>
      <c r="I25" s="187"/>
      <c r="J25" s="187">
        <f>J15</f>
        <v>1506.81</v>
      </c>
    </row>
    <row r="26" spans="1:10" ht="16.5">
      <c r="A26" s="186" t="s">
        <v>95</v>
      </c>
      <c r="B26" s="180" t="s">
        <v>111</v>
      </c>
      <c r="C26" s="187"/>
      <c r="D26" s="187">
        <f>D22</f>
        <v>0</v>
      </c>
      <c r="E26" s="187"/>
      <c r="F26" s="187">
        <f>F22</f>
        <v>0</v>
      </c>
      <c r="G26" s="187"/>
      <c r="H26" s="187">
        <f>H22</f>
        <v>0</v>
      </c>
      <c r="I26" s="187"/>
      <c r="J26" s="187">
        <f>J22</f>
        <v>0</v>
      </c>
    </row>
    <row r="27" spans="1:10" ht="16.5" hidden="1">
      <c r="A27" s="186" t="s">
        <v>12</v>
      </c>
      <c r="B27" s="180" t="s">
        <v>13</v>
      </c>
      <c r="C27" s="188">
        <f>E27+G27+I27</f>
        <v>12.62</v>
      </c>
      <c r="D27" s="188">
        <v>0</v>
      </c>
      <c r="E27" s="188">
        <v>0</v>
      </c>
      <c r="F27" s="188">
        <v>0</v>
      </c>
      <c r="G27" s="188">
        <v>2.94</v>
      </c>
      <c r="H27" s="188">
        <v>0</v>
      </c>
      <c r="I27" s="188">
        <v>9.68</v>
      </c>
      <c r="J27" s="188">
        <v>0</v>
      </c>
    </row>
    <row r="28" spans="1:10" ht="99">
      <c r="A28" s="183">
        <v>6</v>
      </c>
      <c r="B28" s="189" t="s">
        <v>166</v>
      </c>
      <c r="C28" s="190"/>
      <c r="D28" s="190">
        <f>D29+D30</f>
        <v>8657.1</v>
      </c>
      <c r="E28" s="190"/>
      <c r="F28" s="190">
        <f>F29+F30</f>
        <v>8201.82</v>
      </c>
      <c r="G28" s="190"/>
      <c r="H28" s="190">
        <f>H29+H30</f>
        <v>9754.2999999999993</v>
      </c>
      <c r="I28" s="190"/>
      <c r="J28" s="190">
        <f>ROUNDDOWN(J29+J30,2)</f>
        <v>17262.2</v>
      </c>
    </row>
    <row r="29" spans="1:10" ht="16.5">
      <c r="A29" s="186" t="s">
        <v>96</v>
      </c>
      <c r="B29" s="180" t="s">
        <v>112</v>
      </c>
      <c r="C29" s="191"/>
      <c r="D29" s="191">
        <f>D20</f>
        <v>8657.1</v>
      </c>
      <c r="E29" s="191"/>
      <c r="F29" s="191">
        <f>F20</f>
        <v>8201.82</v>
      </c>
      <c r="G29" s="191"/>
      <c r="H29" s="191">
        <f>H20</f>
        <v>9754.2999999999993</v>
      </c>
      <c r="I29" s="191"/>
      <c r="J29" s="191">
        <f>J20</f>
        <v>17262.2</v>
      </c>
    </row>
    <row r="30" spans="1:10" ht="16.5">
      <c r="A30" s="186" t="s">
        <v>97</v>
      </c>
      <c r="B30" s="180" t="s">
        <v>111</v>
      </c>
      <c r="C30" s="191"/>
      <c r="D30" s="191">
        <f>D23</f>
        <v>0</v>
      </c>
      <c r="E30" s="191"/>
      <c r="F30" s="191">
        <f>F23</f>
        <v>0</v>
      </c>
      <c r="G30" s="191"/>
      <c r="H30" s="191">
        <f>H23</f>
        <v>0</v>
      </c>
      <c r="I30" s="191"/>
      <c r="J30" s="191">
        <f>J23</f>
        <v>0</v>
      </c>
    </row>
    <row r="31" spans="1:10" ht="13.5" hidden="1">
      <c r="A31" s="192" t="s">
        <v>14</v>
      </c>
      <c r="B31" s="193" t="s">
        <v>13</v>
      </c>
      <c r="C31" s="194">
        <v>2.88</v>
      </c>
      <c r="D31" s="194"/>
      <c r="E31" s="194">
        <v>0</v>
      </c>
      <c r="F31" s="192">
        <f>E31/$E$11*1000</f>
        <v>0</v>
      </c>
      <c r="G31" s="194">
        <v>15</v>
      </c>
      <c r="H31" s="194"/>
      <c r="I31" s="194">
        <v>23.5</v>
      </c>
      <c r="J31" s="195"/>
    </row>
    <row r="32" spans="1:10" ht="18.75">
      <c r="A32" s="1205" t="s">
        <v>1</v>
      </c>
      <c r="B32" s="1205"/>
      <c r="C32" s="1205"/>
      <c r="D32" s="1205"/>
      <c r="E32" s="1205"/>
      <c r="F32" s="1205"/>
      <c r="G32" s="1205"/>
      <c r="H32" s="1205"/>
      <c r="I32" s="1205"/>
      <c r="J32" s="1205"/>
    </row>
    <row r="33" spans="1:10" ht="49.5">
      <c r="A33" s="183">
        <v>7</v>
      </c>
      <c r="B33" s="184" t="s">
        <v>209</v>
      </c>
      <c r="C33" s="181">
        <f>E33+G33+I33</f>
        <v>11570.16</v>
      </c>
      <c r="D33" s="181">
        <f>C33/12/C12*1000</f>
        <v>5191.58</v>
      </c>
      <c r="E33" s="181">
        <f>Додаток3!I48</f>
        <v>9823.5300000000007</v>
      </c>
      <c r="F33" s="181">
        <f>ROUND(E33/E12/12*1000,24)</f>
        <v>5291.37</v>
      </c>
      <c r="G33" s="181">
        <f>Додаток3!O48</f>
        <v>1315.13</v>
      </c>
      <c r="H33" s="181">
        <f>ROUND(G33/G12/12*1000,2)</f>
        <v>4189.38</v>
      </c>
      <c r="I33" s="181">
        <f>Додаток3!U48</f>
        <v>431.5</v>
      </c>
      <c r="J33" s="181">
        <f>ROUND(I33/I12/12*1000,2)</f>
        <v>7414.09</v>
      </c>
    </row>
    <row r="34" spans="1:10" ht="33">
      <c r="A34" s="179">
        <v>8</v>
      </c>
      <c r="B34" s="180" t="s">
        <v>137</v>
      </c>
      <c r="C34" s="187">
        <f>E34+G34+I34</f>
        <v>0</v>
      </c>
      <c r="D34" s="187">
        <f>C34/C12/12*1000</f>
        <v>0</v>
      </c>
      <c r="E34" s="187">
        <f>Додаток3!I50</f>
        <v>0</v>
      </c>
      <c r="F34" s="187">
        <f>E34/E12/12*1000</f>
        <v>0</v>
      </c>
      <c r="G34" s="187">
        <f>Додаток3!O50</f>
        <v>0</v>
      </c>
      <c r="H34" s="187">
        <f>G34/G12/12*1000</f>
        <v>0</v>
      </c>
      <c r="I34" s="187">
        <f>Додаток3!U50</f>
        <v>0</v>
      </c>
      <c r="J34" s="187">
        <f>I34/I12/12*1000</f>
        <v>0</v>
      </c>
    </row>
    <row r="35" spans="1:10" ht="82.5">
      <c r="A35" s="183">
        <v>9</v>
      </c>
      <c r="B35" s="184" t="s">
        <v>154</v>
      </c>
      <c r="C35" s="190"/>
      <c r="D35" s="190">
        <f>D36+D37</f>
        <v>5191.58</v>
      </c>
      <c r="E35" s="190"/>
      <c r="F35" s="190">
        <f>F36+F37</f>
        <v>5291.37</v>
      </c>
      <c r="G35" s="190"/>
      <c r="H35" s="190">
        <f>H36+H37</f>
        <v>4189.38</v>
      </c>
      <c r="I35" s="190"/>
      <c r="J35" s="190">
        <f>J36+J37</f>
        <v>7414.09</v>
      </c>
    </row>
    <row r="36" spans="1:10" ht="16.5">
      <c r="A36" s="186" t="s">
        <v>107</v>
      </c>
      <c r="B36" s="180" t="s">
        <v>112</v>
      </c>
      <c r="C36" s="187"/>
      <c r="D36" s="187">
        <f>D33</f>
        <v>5191.58</v>
      </c>
      <c r="E36" s="187"/>
      <c r="F36" s="187">
        <f>F33</f>
        <v>5291.37</v>
      </c>
      <c r="G36" s="187"/>
      <c r="H36" s="187">
        <f>H33</f>
        <v>4189.38</v>
      </c>
      <c r="I36" s="187"/>
      <c r="J36" s="187">
        <f>J33</f>
        <v>7414.09</v>
      </c>
    </row>
    <row r="37" spans="1:10" ht="16.5">
      <c r="A37" s="186" t="s">
        <v>108</v>
      </c>
      <c r="B37" s="180" t="s">
        <v>113</v>
      </c>
      <c r="C37" s="187"/>
      <c r="D37" s="187">
        <f>D34</f>
        <v>0</v>
      </c>
      <c r="E37" s="187"/>
      <c r="F37" s="187">
        <f>F34</f>
        <v>0</v>
      </c>
      <c r="G37" s="187"/>
      <c r="H37" s="187">
        <f>H34</f>
        <v>0</v>
      </c>
      <c r="I37" s="187"/>
      <c r="J37" s="187">
        <f>J34</f>
        <v>0</v>
      </c>
    </row>
    <row r="38" spans="1:10" ht="13.5" hidden="1">
      <c r="A38" s="192" t="s">
        <v>109</v>
      </c>
      <c r="B38" s="193" t="s">
        <v>13</v>
      </c>
      <c r="C38" s="192">
        <v>0.97</v>
      </c>
      <c r="D38" s="192"/>
      <c r="E38" s="192">
        <v>0</v>
      </c>
      <c r="F38" s="192"/>
      <c r="G38" s="192">
        <v>3.84</v>
      </c>
      <c r="H38" s="192"/>
      <c r="I38" s="192">
        <v>10.7</v>
      </c>
      <c r="J38" s="196"/>
    </row>
    <row r="39" spans="1:10" ht="18.75">
      <c r="A39" s="1205" t="s">
        <v>2</v>
      </c>
      <c r="B39" s="1205"/>
      <c r="C39" s="1205"/>
      <c r="D39" s="1205"/>
      <c r="E39" s="1205"/>
      <c r="F39" s="1205"/>
      <c r="G39" s="1205"/>
      <c r="H39" s="1205"/>
      <c r="I39" s="1205"/>
      <c r="J39" s="1205"/>
    </row>
    <row r="40" spans="1:10" ht="49.5">
      <c r="A40" s="183">
        <v>10</v>
      </c>
      <c r="B40" s="184" t="s">
        <v>16</v>
      </c>
      <c r="C40" s="181">
        <f>E40+G40+I40</f>
        <v>506.73</v>
      </c>
      <c r="D40" s="181">
        <f>ROUNDDOWN(C40/12/C12*1000,2)</f>
        <v>227.37</v>
      </c>
      <c r="E40" s="181">
        <f>Додаток4!I47</f>
        <v>430.8</v>
      </c>
      <c r="F40" s="181">
        <f>ROUND(E40/12/E12*1000,2)</f>
        <v>232.05</v>
      </c>
      <c r="G40" s="181">
        <f>Додаток4!O47</f>
        <v>57.17</v>
      </c>
      <c r="H40" s="181">
        <f>ROUND(G40/12/G12*1000,2)</f>
        <v>182.12</v>
      </c>
      <c r="I40" s="181">
        <f>Додаток4!U47</f>
        <v>18.760000000000002</v>
      </c>
      <c r="J40" s="181">
        <f>ROUND(I40/12/I12*1000,2)</f>
        <v>322.33999999999997</v>
      </c>
    </row>
    <row r="41" spans="1:10" ht="33">
      <c r="A41" s="179">
        <v>11</v>
      </c>
      <c r="B41" s="180" t="s">
        <v>136</v>
      </c>
      <c r="C41" s="187">
        <f>E41+G41+I41</f>
        <v>0</v>
      </c>
      <c r="D41" s="187">
        <f>C41/12/C12*1000</f>
        <v>0</v>
      </c>
      <c r="E41" s="187">
        <f>Додаток4!I49</f>
        <v>0</v>
      </c>
      <c r="F41" s="187">
        <f>E41/12/E12*1000</f>
        <v>0</v>
      </c>
      <c r="G41" s="187">
        <f>Додаток4!O49</f>
        <v>0</v>
      </c>
      <c r="H41" s="187">
        <f>G41/12/G12*1000</f>
        <v>0</v>
      </c>
      <c r="I41" s="187">
        <f>Додаток4!U49</f>
        <v>0</v>
      </c>
      <c r="J41" s="187">
        <f>I41/12/I12*1000</f>
        <v>0</v>
      </c>
    </row>
    <row r="42" spans="1:10" ht="66">
      <c r="A42" s="183">
        <v>12</v>
      </c>
      <c r="B42" s="184" t="s">
        <v>152</v>
      </c>
      <c r="C42" s="181"/>
      <c r="D42" s="181">
        <f>D43+D44</f>
        <v>227.37</v>
      </c>
      <c r="E42" s="181"/>
      <c r="F42" s="181">
        <f>F43+F44</f>
        <v>232.05</v>
      </c>
      <c r="G42" s="181"/>
      <c r="H42" s="181">
        <f>H43+H44</f>
        <v>182.12</v>
      </c>
      <c r="I42" s="181"/>
      <c r="J42" s="181">
        <f>H42</f>
        <v>182.12</v>
      </c>
    </row>
    <row r="43" spans="1:10" ht="16.5">
      <c r="A43" s="186" t="s">
        <v>83</v>
      </c>
      <c r="B43" s="180" t="s">
        <v>112</v>
      </c>
      <c r="C43" s="187"/>
      <c r="D43" s="187">
        <f>D40</f>
        <v>227.37</v>
      </c>
      <c r="E43" s="187"/>
      <c r="F43" s="187">
        <f>F40</f>
        <v>232.05</v>
      </c>
      <c r="G43" s="187"/>
      <c r="H43" s="187">
        <f>H40</f>
        <v>182.12</v>
      </c>
      <c r="I43" s="187"/>
      <c r="J43" s="187">
        <f>J40</f>
        <v>322.33999999999997</v>
      </c>
    </row>
    <row r="44" spans="1:10" ht="16.5">
      <c r="A44" s="186" t="s">
        <v>84</v>
      </c>
      <c r="B44" s="180" t="s">
        <v>114</v>
      </c>
      <c r="C44" s="187"/>
      <c r="D44" s="187">
        <f>D41</f>
        <v>0</v>
      </c>
      <c r="E44" s="187"/>
      <c r="F44" s="187">
        <f>F41</f>
        <v>0</v>
      </c>
      <c r="G44" s="187"/>
      <c r="H44" s="187">
        <f>H41</f>
        <v>0</v>
      </c>
      <c r="I44" s="187"/>
      <c r="J44" s="187">
        <f>J41</f>
        <v>0</v>
      </c>
    </row>
    <row r="45" spans="1:10" ht="18.75">
      <c r="A45" s="1206" t="s">
        <v>20</v>
      </c>
      <c r="B45" s="1207"/>
      <c r="C45" s="1207"/>
      <c r="D45" s="1207"/>
      <c r="E45" s="1207"/>
      <c r="F45" s="1207"/>
      <c r="G45" s="1207"/>
      <c r="H45" s="1207"/>
      <c r="I45" s="1207"/>
      <c r="J45" s="1208"/>
    </row>
    <row r="46" spans="1:10" ht="49.5">
      <c r="A46" s="183">
        <v>13</v>
      </c>
      <c r="B46" s="184" t="s">
        <v>120</v>
      </c>
      <c r="C46" s="181"/>
      <c r="D46" s="181">
        <f>ROUNDUP(D47+D48,2)</f>
        <v>414.47</v>
      </c>
      <c r="E46" s="181"/>
      <c r="F46" s="181">
        <f>F47+F48</f>
        <v>221.96</v>
      </c>
      <c r="G46" s="181"/>
      <c r="H46" s="181">
        <f>H47+H48</f>
        <v>1506.81</v>
      </c>
      <c r="I46" s="181"/>
      <c r="J46" s="181">
        <f>ROUNDDOWN(J47+J48,2)</f>
        <v>1506.81</v>
      </c>
    </row>
    <row r="47" spans="1:10" ht="16.5">
      <c r="A47" s="186" t="s">
        <v>17</v>
      </c>
      <c r="B47" s="180" t="s">
        <v>112</v>
      </c>
      <c r="C47" s="187"/>
      <c r="D47" s="187">
        <f>D25</f>
        <v>414.47</v>
      </c>
      <c r="E47" s="187"/>
      <c r="F47" s="187">
        <f>F25</f>
        <v>221.96</v>
      </c>
      <c r="G47" s="187"/>
      <c r="H47" s="187">
        <f>H25</f>
        <v>1506.81</v>
      </c>
      <c r="I47" s="187"/>
      <c r="J47" s="187">
        <f>J25</f>
        <v>1506.81</v>
      </c>
    </row>
    <row r="48" spans="1:10" ht="16.5">
      <c r="A48" s="186" t="s">
        <v>18</v>
      </c>
      <c r="B48" s="180" t="s">
        <v>111</v>
      </c>
      <c r="C48" s="187"/>
      <c r="D48" s="187">
        <f>D26</f>
        <v>0</v>
      </c>
      <c r="E48" s="187"/>
      <c r="F48" s="187">
        <f>F26</f>
        <v>0</v>
      </c>
      <c r="G48" s="187"/>
      <c r="H48" s="187">
        <f>H26</f>
        <v>0</v>
      </c>
      <c r="I48" s="187"/>
      <c r="J48" s="187">
        <f>J26</f>
        <v>0</v>
      </c>
    </row>
    <row r="49" spans="1:10" ht="16.5" hidden="1">
      <c r="A49" s="186" t="s">
        <v>19</v>
      </c>
      <c r="B49" s="180" t="s">
        <v>13</v>
      </c>
      <c r="C49" s="187"/>
      <c r="D49" s="187">
        <v>0</v>
      </c>
      <c r="E49" s="187"/>
      <c r="F49" s="187">
        <v>0</v>
      </c>
      <c r="G49" s="187"/>
      <c r="H49" s="187">
        <v>0</v>
      </c>
      <c r="I49" s="187"/>
      <c r="J49" s="187">
        <v>0</v>
      </c>
    </row>
    <row r="50" spans="1:10" ht="99">
      <c r="A50" s="183">
        <v>14</v>
      </c>
      <c r="B50" s="184" t="s">
        <v>121</v>
      </c>
      <c r="C50" s="181"/>
      <c r="D50" s="181">
        <f>D51+D52</f>
        <v>14076.05</v>
      </c>
      <c r="E50" s="181"/>
      <c r="F50" s="181">
        <f>ROUNDUP(F51+F52,2)</f>
        <v>13725.24</v>
      </c>
      <c r="G50" s="181"/>
      <c r="H50" s="181">
        <f>H51+H52</f>
        <v>14125.8</v>
      </c>
      <c r="I50" s="181"/>
      <c r="J50" s="181">
        <f>J51+J52</f>
        <v>24998.63</v>
      </c>
    </row>
    <row r="51" spans="1:10" ht="16.5">
      <c r="A51" s="186" t="s">
        <v>21</v>
      </c>
      <c r="B51" s="180" t="s">
        <v>112</v>
      </c>
      <c r="C51" s="187"/>
      <c r="D51" s="187">
        <f>D29+D36+D43</f>
        <v>14076.05</v>
      </c>
      <c r="E51" s="187"/>
      <c r="F51" s="187">
        <f>ROUNDUP(F29+F36+F43,2)</f>
        <v>13725.24</v>
      </c>
      <c r="G51" s="187"/>
      <c r="H51" s="187">
        <f>H29+H36+H43</f>
        <v>14125.8</v>
      </c>
      <c r="I51" s="187"/>
      <c r="J51" s="187">
        <f>J29+J36+J43</f>
        <v>24998.63</v>
      </c>
    </row>
    <row r="52" spans="1:10" ht="16.5">
      <c r="A52" s="186" t="s">
        <v>22</v>
      </c>
      <c r="B52" s="180" t="s">
        <v>111</v>
      </c>
      <c r="C52" s="187"/>
      <c r="D52" s="187">
        <f>D30+D37+D44</f>
        <v>0</v>
      </c>
      <c r="E52" s="187"/>
      <c r="F52" s="187">
        <f>F30+F37+F44</f>
        <v>0</v>
      </c>
      <c r="G52" s="187"/>
      <c r="H52" s="187">
        <f>H30+H37+H44</f>
        <v>0</v>
      </c>
      <c r="I52" s="187"/>
      <c r="J52" s="187">
        <f>J30+J37+J44</f>
        <v>0</v>
      </c>
    </row>
    <row r="53" spans="1:10" ht="13.5" hidden="1">
      <c r="A53" s="197" t="s">
        <v>23</v>
      </c>
      <c r="B53" s="198" t="s">
        <v>13</v>
      </c>
      <c r="C53" s="199">
        <v>1.9259999999999999</v>
      </c>
      <c r="D53" s="199"/>
      <c r="E53" s="199">
        <v>0</v>
      </c>
      <c r="F53" s="199"/>
      <c r="G53" s="199">
        <v>9.8789999999999996</v>
      </c>
      <c r="H53" s="199"/>
      <c r="I53" s="199">
        <v>17.626000000000001</v>
      </c>
      <c r="J53" s="200"/>
    </row>
    <row r="54" spans="1:10" ht="13.5">
      <c r="A54" s="172"/>
      <c r="B54" s="172"/>
      <c r="C54" s="172"/>
      <c r="D54" s="172"/>
      <c r="E54" s="172"/>
      <c r="F54" s="172"/>
      <c r="G54" s="172"/>
      <c r="H54" s="172"/>
      <c r="I54" s="172"/>
      <c r="J54" s="200"/>
    </row>
    <row r="55" spans="1:10" ht="13.5">
      <c r="A55" s="172"/>
      <c r="B55" s="172"/>
      <c r="C55" s="172"/>
      <c r="D55" s="172"/>
      <c r="E55" s="172"/>
      <c r="F55" s="172"/>
      <c r="G55" s="172"/>
      <c r="H55" s="172"/>
      <c r="I55" s="172"/>
      <c r="J55" s="200"/>
    </row>
    <row r="56" spans="1:10" ht="40.5" customHeight="1">
      <c r="A56" s="1198" t="s">
        <v>219</v>
      </c>
      <c r="B56" s="1198"/>
      <c r="C56" s="1198"/>
      <c r="D56" s="1198"/>
      <c r="E56" s="1198"/>
      <c r="F56" s="201"/>
      <c r="G56" s="201"/>
      <c r="H56" s="1199" t="s">
        <v>221</v>
      </c>
      <c r="I56" s="1199"/>
      <c r="J56" s="1199"/>
    </row>
  </sheetData>
  <customSheetViews>
    <customSheetView guid="{8839ED87-9C42-4CC2-A1AD-6EF9611832A1}" scale="85" showPageBreaks="1" printArea="1" hiddenRows="1" view="pageBreakPreview" topLeftCell="A10">
      <selection activeCell="G18" sqref="G18"/>
      <pageMargins left="0" right="0" top="0.3" bottom="0.17" header="0.17" footer="0.17"/>
      <printOptions horizontalCentered="1"/>
      <pageSetup paperSize="9" scale="78" orientation="portrait" verticalDpi="0" r:id="rId1"/>
    </customSheetView>
    <customSheetView guid="{B233FDC7-B79B-43AD-9288-8B6C8ACB6ACB}" scale="85" showPageBreaks="1" printArea="1" hiddenRows="1" view="pageBreakPreview" topLeftCell="A10">
      <selection activeCell="G18" sqref="G18"/>
      <pageMargins left="0" right="0" top="0.3" bottom="0.17" header="0.17" footer="0.17"/>
      <printOptions horizontalCentered="1"/>
      <pageSetup paperSize="9" scale="78" orientation="portrait" verticalDpi="0" r:id="rId2"/>
    </customSheetView>
    <customSheetView guid="{BF9F446D-D2F9-4EAA-BD71-B531E336462E}" scale="85" showPageBreaks="1" printArea="1" hiddenRows="1" view="pageBreakPreview" topLeftCell="A42">
      <selection activeCell="I62" sqref="I62"/>
      <pageMargins left="0" right="0" top="0.3" bottom="0.17" header="0.17" footer="0.17"/>
      <printOptions horizontalCentered="1"/>
      <pageSetup paperSize="9" scale="78" orientation="portrait" verticalDpi="0" r:id="rId3"/>
    </customSheetView>
  </customSheetViews>
  <mergeCells count="14">
    <mergeCell ref="A56:E56"/>
    <mergeCell ref="H56:J56"/>
    <mergeCell ref="A13:J13"/>
    <mergeCell ref="A8:A9"/>
    <mergeCell ref="B8:B9"/>
    <mergeCell ref="A32:J32"/>
    <mergeCell ref="A39:J39"/>
    <mergeCell ref="A45:J45"/>
    <mergeCell ref="A5:J5"/>
    <mergeCell ref="A6:J6"/>
    <mergeCell ref="C8:D8"/>
    <mergeCell ref="E8:F8"/>
    <mergeCell ref="G8:H8"/>
    <mergeCell ref="I8:J8"/>
  </mergeCells>
  <printOptions horizontalCentered="1"/>
  <pageMargins left="0" right="0" top="0.3" bottom="0.17" header="0.17" footer="0.17"/>
  <pageSetup paperSize="9" scale="78" orientation="portrait" verticalDpi="0" r:id="rId4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IV22"/>
  <sheetViews>
    <sheetView view="pageBreakPreview" topLeftCell="A4" zoomScaleNormal="100" zoomScaleSheetLayoutView="100" workbookViewId="0">
      <selection activeCell="B17" sqref="B17"/>
    </sheetView>
  </sheetViews>
  <sheetFormatPr defaultRowHeight="12.75"/>
  <cols>
    <col min="1" max="1" width="7.28515625" style="136" customWidth="1"/>
    <col min="2" max="2" width="46.7109375" style="136" customWidth="1"/>
    <col min="3" max="3" width="37.7109375" style="136" customWidth="1"/>
    <col min="4" max="5" width="9.140625" style="136"/>
    <col min="6" max="6" width="33.5703125" style="136" customWidth="1"/>
    <col min="7" max="16384" width="9.140625" style="136"/>
  </cols>
  <sheetData>
    <row r="1" spans="2:13" ht="15.75">
      <c r="C1" s="137" t="s">
        <v>173</v>
      </c>
      <c r="D1" s="138"/>
      <c r="E1" s="138"/>
      <c r="F1" s="138"/>
      <c r="G1" s="138"/>
      <c r="H1" s="138"/>
      <c r="I1" s="139"/>
      <c r="J1" s="139"/>
      <c r="K1" s="139"/>
      <c r="L1" s="139"/>
      <c r="M1" s="140"/>
    </row>
    <row r="2" spans="2:13" ht="15.75">
      <c r="C2" s="141" t="s">
        <v>174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2:13" ht="15.75">
      <c r="C3" s="143" t="s">
        <v>183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2:13" ht="15.75">
      <c r="C4" s="143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7" spans="2:13" ht="16.5">
      <c r="B7" s="1209" t="s">
        <v>175</v>
      </c>
      <c r="C7" s="1209"/>
    </row>
    <row r="8" spans="2:13" ht="16.5">
      <c r="B8" s="1209" t="str">
        <f>'Послуга ЦО'!A2&amp;" на 2014 рік"</f>
        <v>КП «Павлоградтеплоенерго» на 2014 рік</v>
      </c>
      <c r="C8" s="1209"/>
    </row>
    <row r="12" spans="2:13" ht="15.75">
      <c r="B12" s="145" t="s">
        <v>176</v>
      </c>
      <c r="C12" s="145" t="s">
        <v>177</v>
      </c>
    </row>
    <row r="13" spans="2:13" ht="15.75">
      <c r="B13" s="146" t="s">
        <v>184</v>
      </c>
      <c r="C13" s="147">
        <f>C14+C15+C16</f>
        <v>75263</v>
      </c>
    </row>
    <row r="14" spans="2:13" ht="15.75">
      <c r="B14" s="146" t="s">
        <v>178</v>
      </c>
      <c r="C14" s="147">
        <v>36429</v>
      </c>
    </row>
    <row r="15" spans="2:13" ht="63">
      <c r="B15" s="146" t="s">
        <v>179</v>
      </c>
      <c r="C15" s="157">
        <v>38834</v>
      </c>
      <c r="F15" s="148"/>
    </row>
    <row r="16" spans="2:13" ht="15.75">
      <c r="B16" s="146" t="s">
        <v>180</v>
      </c>
      <c r="C16" s="147">
        <v>0</v>
      </c>
    </row>
    <row r="19" spans="1:256" ht="37.5" customHeight="1">
      <c r="A19" s="149" t="s">
        <v>181</v>
      </c>
      <c r="B19" s="1210" t="s">
        <v>220</v>
      </c>
      <c r="C19" s="1211"/>
      <c r="D19" s="1211"/>
      <c r="E19" s="150"/>
      <c r="F19" s="150"/>
      <c r="G19" s="150"/>
      <c r="H19" s="150"/>
      <c r="I19" s="151"/>
      <c r="J19" s="152"/>
    </row>
    <row r="20" spans="1:256" ht="15">
      <c r="A20" s="153"/>
      <c r="B20" s="153"/>
      <c r="C20" s="153"/>
      <c r="D20" s="153"/>
      <c r="E20" s="150"/>
      <c r="F20" s="150"/>
      <c r="G20" s="150"/>
      <c r="H20" s="150"/>
      <c r="I20" s="151"/>
      <c r="J20" s="152"/>
    </row>
    <row r="21" spans="1:256" ht="45" customHeight="1">
      <c r="A21" s="154"/>
      <c r="B21" s="1210" t="s">
        <v>182</v>
      </c>
      <c r="C21" s="1211"/>
      <c r="D21" s="1211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5"/>
      <c r="FM21" s="155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5"/>
      <c r="HI21" s="155"/>
      <c r="HJ21" s="155"/>
      <c r="HK21" s="155"/>
      <c r="HL21" s="155"/>
      <c r="HM21" s="155"/>
      <c r="HN21" s="155"/>
      <c r="HO21" s="155"/>
      <c r="HP21" s="155"/>
      <c r="HQ21" s="155"/>
      <c r="HR21" s="155"/>
      <c r="HS21" s="155"/>
      <c r="HT21" s="155"/>
      <c r="HU21" s="155"/>
      <c r="HV21" s="155"/>
      <c r="HW21" s="155"/>
      <c r="HX21" s="155"/>
      <c r="HY21" s="155"/>
      <c r="HZ21" s="155"/>
      <c r="IA21" s="155"/>
      <c r="IB21" s="155"/>
      <c r="IC21" s="155"/>
      <c r="ID21" s="155"/>
      <c r="IE21" s="155"/>
      <c r="IF21" s="155"/>
      <c r="IG21" s="155"/>
      <c r="IH21" s="155"/>
      <c r="II21" s="155"/>
      <c r="IJ21" s="155"/>
      <c r="IK21" s="155"/>
      <c r="IL21" s="155"/>
      <c r="IM21" s="155"/>
      <c r="IN21" s="155"/>
      <c r="IO21" s="155"/>
      <c r="IP21" s="155"/>
      <c r="IQ21" s="155"/>
      <c r="IR21" s="155"/>
      <c r="IS21" s="155"/>
      <c r="IT21" s="155"/>
      <c r="IU21" s="155"/>
      <c r="IV21" s="155"/>
    </row>
    <row r="22" spans="1:256" ht="15">
      <c r="B22" s="156"/>
      <c r="C22" s="156"/>
    </row>
  </sheetData>
  <customSheetViews>
    <customSheetView guid="{8839ED87-9C42-4CC2-A1AD-6EF9611832A1}" showPageBreaks="1" printArea="1" view="pageBreakPreview" topLeftCell="A4">
      <selection activeCell="B9" sqref="B9"/>
      <colBreaks count="1" manualBreakCount="1">
        <brk id="3" max="1048575" man="1"/>
      </colBreaks>
      <pageMargins left="0.7" right="0.7" top="0.75" bottom="0.75" header="0.3" footer="0.3"/>
      <pageSetup paperSize="9" scale="97" orientation="portrait" r:id="rId1"/>
    </customSheetView>
    <customSheetView guid="{B233FDC7-B79B-43AD-9288-8B6C8ACB6ACB}" showPageBreaks="1" view="pageBreakPreview" topLeftCell="A4">
      <selection activeCell="F17" sqref="F17"/>
      <colBreaks count="1" manualBreakCount="1">
        <brk id="3" max="1048575" man="1"/>
      </colBreaks>
      <pageMargins left="0.7" right="0.7" top="0.75" bottom="0.75" header="0.3" footer="0.3"/>
      <pageSetup paperSize="9" scale="97" orientation="portrait" r:id="rId2"/>
    </customSheetView>
    <customSheetView guid="{BF9F446D-D2F9-4EAA-BD71-B531E336462E}" showPageBreaks="1" printArea="1" view="pageBreakPreview">
      <selection activeCell="B5" sqref="B5"/>
      <colBreaks count="1" manualBreakCount="1">
        <brk id="3" max="1048575" man="1"/>
      </colBreaks>
      <pageMargins left="0.7" right="0.7" top="0.75" bottom="0.75" header="0.3" footer="0.3"/>
      <pageSetup paperSize="9" scale="97" orientation="portrait" r:id="rId3"/>
    </customSheetView>
  </customSheetViews>
  <mergeCells count="4">
    <mergeCell ref="B7:C7"/>
    <mergeCell ref="B8:C8"/>
    <mergeCell ref="B19:D19"/>
    <mergeCell ref="B21:D21"/>
  </mergeCells>
  <pageMargins left="0.7" right="0.7" top="0.75" bottom="0.75" header="0.3" footer="0.3"/>
  <pageSetup paperSize="9" scale="97" orientation="portrait" r:id="rId4"/>
  <colBreaks count="1" manualBreakCount="1">
    <brk id="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77"/>
  <sheetViews>
    <sheetView view="pageBreakPreview" zoomScale="70" zoomScaleNormal="70" zoomScaleSheetLayoutView="70" workbookViewId="0">
      <pane xSplit="2" ySplit="9" topLeftCell="C45" activePane="bottomRight" state="frozen"/>
      <selection pane="topRight" activeCell="C1" sqref="C1"/>
      <selection pane="bottomLeft" activeCell="A10" sqref="A10"/>
      <selection pane="bottomRight" activeCell="G10" sqref="G10"/>
    </sheetView>
  </sheetViews>
  <sheetFormatPr defaultColWidth="11.5703125" defaultRowHeight="13.5"/>
  <cols>
    <col min="1" max="1" width="6.42578125" style="17" customWidth="1"/>
    <col min="2" max="2" width="52.28515625" style="17" customWidth="1"/>
    <col min="3" max="3" width="11.85546875" style="17" customWidth="1"/>
    <col min="4" max="4" width="12.5703125" style="41" customWidth="1"/>
    <col min="5" max="5" width="11.28515625" style="41" customWidth="1"/>
    <col min="6" max="6" width="13.42578125" style="41" customWidth="1"/>
    <col min="7" max="7" width="10.28515625" style="41" customWidth="1"/>
    <col min="8" max="8" width="12.42578125" style="41" customWidth="1"/>
    <col min="9" max="9" width="10.28515625" style="41" customWidth="1"/>
    <col min="10" max="10" width="12.7109375" style="41" customWidth="1"/>
    <col min="11" max="11" width="13.85546875" style="17" hidden="1" customWidth="1"/>
    <col min="12" max="20" width="11.5703125" style="17" hidden="1" customWidth="1"/>
    <col min="21" max="21" width="8" style="17" customWidth="1"/>
    <col min="22" max="16384" width="11.5703125" style="17"/>
  </cols>
  <sheetData>
    <row r="1" spans="1:23" ht="19.5">
      <c r="E1" s="42"/>
      <c r="F1" s="42"/>
      <c r="H1" s="67" t="s">
        <v>138</v>
      </c>
      <c r="I1" s="63"/>
      <c r="J1" s="39"/>
      <c r="K1" s="32"/>
      <c r="L1" s="32"/>
      <c r="M1" s="32"/>
      <c r="N1" s="32"/>
      <c r="O1" s="32"/>
    </row>
    <row r="2" spans="1:23" ht="19.5">
      <c r="E2" s="42"/>
      <c r="F2" s="42"/>
      <c r="H2" s="68" t="s">
        <v>159</v>
      </c>
      <c r="I2" s="64"/>
      <c r="J2" s="39"/>
      <c r="K2" s="32"/>
      <c r="L2" s="32"/>
      <c r="M2" s="32"/>
      <c r="N2" s="32"/>
      <c r="O2" s="32"/>
    </row>
    <row r="3" spans="1:23" ht="19.5">
      <c r="E3" s="42"/>
      <c r="F3" s="42"/>
      <c r="H3" s="68" t="s">
        <v>134</v>
      </c>
      <c r="I3" s="64"/>
      <c r="J3" s="39"/>
      <c r="K3" s="32"/>
      <c r="L3" s="32"/>
      <c r="M3" s="32"/>
      <c r="N3" s="32"/>
      <c r="O3" s="32"/>
    </row>
    <row r="5" spans="1:23" ht="23.25" customHeight="1">
      <c r="A5" s="1212" t="s">
        <v>167</v>
      </c>
      <c r="B5" s="1212"/>
      <c r="C5" s="1212"/>
      <c r="D5" s="1212"/>
      <c r="E5" s="1212"/>
      <c r="F5" s="1212"/>
      <c r="G5" s="1212"/>
      <c r="H5" s="1212"/>
      <c r="I5" s="1212"/>
      <c r="J5" s="1212"/>
    </row>
    <row r="6" spans="1:23" ht="15.75">
      <c r="A6" s="18"/>
      <c r="B6" s="18"/>
      <c r="C6" s="1215"/>
      <c r="D6" s="1215"/>
      <c r="E6" s="1215"/>
      <c r="F6" s="1215"/>
      <c r="G6" s="1215"/>
      <c r="H6" s="43"/>
      <c r="J6" s="40" t="s">
        <v>3</v>
      </c>
    </row>
    <row r="7" spans="1:23" ht="48" customHeight="1">
      <c r="A7" s="1213" t="s">
        <v>27</v>
      </c>
      <c r="B7" s="1218" t="s">
        <v>4</v>
      </c>
      <c r="C7" s="1220" t="s">
        <v>129</v>
      </c>
      <c r="D7" s="1221"/>
      <c r="E7" s="1220" t="s">
        <v>163</v>
      </c>
      <c r="F7" s="1221"/>
      <c r="G7" s="1220" t="s">
        <v>161</v>
      </c>
      <c r="H7" s="1221"/>
      <c r="I7" s="1220" t="s">
        <v>162</v>
      </c>
      <c r="J7" s="1221"/>
      <c r="K7" s="1213" t="s">
        <v>27</v>
      </c>
      <c r="L7" s="1218" t="s">
        <v>4</v>
      </c>
      <c r="M7" s="1220" t="s">
        <v>129</v>
      </c>
      <c r="N7" s="1221"/>
      <c r="O7" s="1220" t="s">
        <v>126</v>
      </c>
      <c r="P7" s="1221"/>
      <c r="Q7" s="1220" t="s">
        <v>130</v>
      </c>
      <c r="R7" s="1221"/>
      <c r="S7" s="1220" t="s">
        <v>131</v>
      </c>
      <c r="T7" s="1221"/>
    </row>
    <row r="8" spans="1:23" ht="57.75" customHeight="1">
      <c r="A8" s="1214"/>
      <c r="B8" s="1219"/>
      <c r="C8" s="61" t="s">
        <v>124</v>
      </c>
      <c r="D8" s="61" t="s">
        <v>139</v>
      </c>
      <c r="E8" s="61" t="s">
        <v>124</v>
      </c>
      <c r="F8" s="61" t="s">
        <v>139</v>
      </c>
      <c r="G8" s="61" t="s">
        <v>124</v>
      </c>
      <c r="H8" s="61" t="s">
        <v>139</v>
      </c>
      <c r="I8" s="61" t="s">
        <v>124</v>
      </c>
      <c r="J8" s="61" t="s">
        <v>139</v>
      </c>
      <c r="K8" s="1214"/>
      <c r="L8" s="1219"/>
      <c r="M8" s="61" t="s">
        <v>124</v>
      </c>
      <c r="N8" s="61" t="s">
        <v>139</v>
      </c>
      <c r="O8" s="61" t="s">
        <v>124</v>
      </c>
      <c r="P8" s="61" t="s">
        <v>139</v>
      </c>
      <c r="Q8" s="61" t="s">
        <v>124</v>
      </c>
      <c r="R8" s="61" t="s">
        <v>139</v>
      </c>
      <c r="S8" s="61" t="s">
        <v>124</v>
      </c>
      <c r="T8" s="61" t="s">
        <v>139</v>
      </c>
    </row>
    <row r="9" spans="1:23">
      <c r="A9" s="83">
        <v>1</v>
      </c>
      <c r="B9" s="84">
        <v>2</v>
      </c>
      <c r="C9" s="84">
        <v>3</v>
      </c>
      <c r="D9" s="85">
        <v>4</v>
      </c>
      <c r="E9" s="85">
        <v>5</v>
      </c>
      <c r="F9" s="85">
        <v>6</v>
      </c>
      <c r="G9" s="85">
        <v>7</v>
      </c>
      <c r="H9" s="85">
        <v>8</v>
      </c>
      <c r="I9" s="85">
        <v>9</v>
      </c>
      <c r="J9" s="86">
        <v>10</v>
      </c>
      <c r="K9" s="83">
        <v>1</v>
      </c>
      <c r="L9" s="84">
        <v>2</v>
      </c>
      <c r="M9" s="84">
        <v>3</v>
      </c>
      <c r="N9" s="85">
        <v>4</v>
      </c>
      <c r="O9" s="85">
        <v>5</v>
      </c>
      <c r="P9" s="85">
        <v>6</v>
      </c>
      <c r="Q9" s="85">
        <v>7</v>
      </c>
      <c r="R9" s="85">
        <v>8</v>
      </c>
      <c r="S9" s="85">
        <v>9</v>
      </c>
      <c r="T9" s="86">
        <v>10</v>
      </c>
    </row>
    <row r="10" spans="1:23" ht="33">
      <c r="A10" s="87">
        <v>1</v>
      </c>
      <c r="B10" s="66" t="s">
        <v>118</v>
      </c>
      <c r="C10" s="114" t="e">
        <f>E10+G10+I10</f>
        <v>#REF!</v>
      </c>
      <c r="D10" s="110"/>
      <c r="E10" s="114" t="e">
        <f>'Послуга ЦО'!#REF!</f>
        <v>#REF!</v>
      </c>
      <c r="F10" s="15"/>
      <c r="G10" s="114" t="e">
        <f>'Послуга ЦО'!#REF!</f>
        <v>#REF!</v>
      </c>
      <c r="H10" s="15"/>
      <c r="I10" s="114" t="e">
        <f>'Послуга ЦО'!#REF!</f>
        <v>#REF!</v>
      </c>
      <c r="J10" s="81"/>
      <c r="K10" s="87"/>
      <c r="L10" s="66"/>
      <c r="M10" s="79">
        <v>61301.9</v>
      </c>
      <c r="N10" s="80"/>
      <c r="O10" s="79">
        <v>52178.1</v>
      </c>
      <c r="P10" s="51"/>
      <c r="Q10" s="79">
        <v>7235</v>
      </c>
      <c r="R10" s="51"/>
      <c r="S10" s="79">
        <v>1888.8</v>
      </c>
      <c r="T10" s="81"/>
    </row>
    <row r="11" spans="1:23" ht="32.25" customHeight="1">
      <c r="A11" s="87">
        <v>2</v>
      </c>
      <c r="B11" s="66" t="s">
        <v>119</v>
      </c>
      <c r="C11" s="116">
        <f>SUM(E11,G11,I11)</f>
        <v>185.72669999999999</v>
      </c>
      <c r="D11" s="78"/>
      <c r="E11" s="111">
        <v>142.88998000000001</v>
      </c>
      <c r="F11" s="78"/>
      <c r="G11" s="111">
        <v>36.582639</v>
      </c>
      <c r="H11" s="78"/>
      <c r="I11" s="111">
        <v>6.2540810000000002</v>
      </c>
      <c r="J11" s="81"/>
      <c r="K11" s="87"/>
      <c r="L11" s="66"/>
      <c r="M11" s="82">
        <v>32.722918999999997</v>
      </c>
      <c r="N11" s="79"/>
      <c r="O11" s="82">
        <v>27.848519</v>
      </c>
      <c r="P11" s="79"/>
      <c r="Q11" s="82">
        <v>3.795928</v>
      </c>
      <c r="R11" s="79"/>
      <c r="S11" s="82">
        <v>1.0784720000000001</v>
      </c>
      <c r="T11" s="81"/>
    </row>
    <row r="12" spans="1:23" ht="18.75">
      <c r="A12" s="1217" t="s">
        <v>0</v>
      </c>
      <c r="B12" s="1217"/>
      <c r="C12" s="1217"/>
      <c r="D12" s="1217"/>
      <c r="E12" s="1217"/>
      <c r="F12" s="1217"/>
      <c r="G12" s="1217"/>
      <c r="H12" s="1217"/>
      <c r="I12" s="1217"/>
      <c r="J12" s="1217"/>
      <c r="K12" s="1217"/>
      <c r="L12" s="1217"/>
      <c r="M12" s="1217"/>
      <c r="N12" s="1217"/>
      <c r="O12" s="1217"/>
      <c r="P12" s="1217"/>
      <c r="Q12" s="1217"/>
      <c r="R12" s="1217"/>
      <c r="S12" s="1217"/>
      <c r="T12" s="1217"/>
    </row>
    <row r="13" spans="1:23" s="28" customFormat="1" ht="33">
      <c r="A13" s="103">
        <v>3</v>
      </c>
      <c r="B13" s="98" t="s">
        <v>150</v>
      </c>
      <c r="C13" s="114">
        <f>C14+C18</f>
        <v>91750.399999999994</v>
      </c>
      <c r="D13" s="78"/>
      <c r="E13" s="114">
        <f>E14+E18</f>
        <v>60797.7</v>
      </c>
      <c r="F13" s="78"/>
      <c r="G13" s="114">
        <f>G14+G18</f>
        <v>23305.99</v>
      </c>
      <c r="H13" s="78"/>
      <c r="I13" s="114">
        <f>I14+I18</f>
        <v>7646.71</v>
      </c>
      <c r="J13" s="78"/>
      <c r="K13" s="54"/>
      <c r="L13" s="65"/>
      <c r="M13" s="117">
        <f>ROUND(C13,2)</f>
        <v>91750.399999999994</v>
      </c>
      <c r="N13" s="78"/>
      <c r="O13" s="117">
        <f t="shared" ref="O13:O52" si="0">ROUND(E13,2)</f>
        <v>60797.7</v>
      </c>
      <c r="P13" s="78"/>
      <c r="Q13" s="117">
        <f t="shared" ref="Q13:Q52" si="1">ROUND(G13,2)</f>
        <v>23305.99</v>
      </c>
      <c r="R13" s="78"/>
      <c r="S13" s="117">
        <f t="shared" ref="S13:S52" si="2">ROUND(I13,2)</f>
        <v>7646.71</v>
      </c>
      <c r="T13" s="78"/>
      <c r="V13" s="100"/>
      <c r="W13" s="100"/>
    </row>
    <row r="14" spans="1:23" s="28" customFormat="1" ht="16.5">
      <c r="A14" s="103" t="s">
        <v>62</v>
      </c>
      <c r="B14" s="98" t="s">
        <v>164</v>
      </c>
      <c r="C14" s="114">
        <f>SUM(C15:C17)</f>
        <v>73224.570000000007</v>
      </c>
      <c r="D14" s="114" t="e">
        <f>ROUND(C14/C10*1000,2)</f>
        <v>#REF!</v>
      </c>
      <c r="E14" s="114">
        <f>SUM(E15:E17)</f>
        <v>45570.86</v>
      </c>
      <c r="F14" s="114" t="e">
        <f>ROUND(E14/E10*1000,2)</f>
        <v>#REF!</v>
      </c>
      <c r="G14" s="114">
        <f>SUM(G15:G17)</f>
        <v>20821.990000000002</v>
      </c>
      <c r="H14" s="114" t="e">
        <f>ROUND(G14/G10*1000,2)</f>
        <v>#REF!</v>
      </c>
      <c r="I14" s="114">
        <f>SUM(I15:I17)</f>
        <v>6831.72</v>
      </c>
      <c r="J14" s="114" t="e">
        <f>ROUND(I14/I10*1000,2)</f>
        <v>#REF!</v>
      </c>
      <c r="K14" s="56"/>
      <c r="L14" s="65"/>
      <c r="M14" s="118">
        <f t="shared" ref="M14:M52" si="3">ROUND(C14,2)</f>
        <v>73224.570000000007</v>
      </c>
      <c r="N14" s="114" t="e">
        <f t="shared" ref="N14:N52" si="4">ROUND(D14,2)</f>
        <v>#REF!</v>
      </c>
      <c r="O14" s="117">
        <f t="shared" si="0"/>
        <v>45570.86</v>
      </c>
      <c r="P14" s="114" t="e">
        <f t="shared" ref="P14:P52" si="5">ROUND(F14,2)</f>
        <v>#REF!</v>
      </c>
      <c r="Q14" s="117">
        <f t="shared" si="1"/>
        <v>20821.990000000002</v>
      </c>
      <c r="R14" s="114" t="e">
        <f t="shared" ref="R14:R52" si="6">ROUND(H14,2)</f>
        <v>#REF!</v>
      </c>
      <c r="S14" s="117">
        <f t="shared" si="2"/>
        <v>6831.72</v>
      </c>
      <c r="T14" s="114" t="e">
        <f t="shared" ref="T14:T52" si="7">ROUND(J14,2)</f>
        <v>#REF!</v>
      </c>
      <c r="U14" s="100"/>
    </row>
    <row r="15" spans="1:23" ht="32.25" customHeight="1">
      <c r="A15" s="53" t="s">
        <v>5</v>
      </c>
      <c r="B15" s="99" t="s">
        <v>6</v>
      </c>
      <c r="C15" s="115">
        <f>E15+G15+I15</f>
        <v>62031.360000000001</v>
      </c>
      <c r="D15" s="115" t="e">
        <f>C15/$C$10*1000</f>
        <v>#REF!</v>
      </c>
      <c r="E15" s="115">
        <f>'Додаток2 скор'!H11</f>
        <v>36054.74</v>
      </c>
      <c r="F15" s="115" t="e">
        <f>E15/$E$10*1000</f>
        <v>#REF!</v>
      </c>
      <c r="G15" s="115">
        <f>'Додаток2 скор'!M11</f>
        <v>19559.22</v>
      </c>
      <c r="H15" s="115" t="e">
        <f>G15/$G$10*1000</f>
        <v>#REF!</v>
      </c>
      <c r="I15" s="115">
        <f>'Додаток2 скор'!R11</f>
        <v>6417.4</v>
      </c>
      <c r="J15" s="115" t="e">
        <f>I15/$I$10*1000</f>
        <v>#REF!</v>
      </c>
      <c r="K15" s="55"/>
      <c r="L15" s="66"/>
      <c r="M15" s="119">
        <f t="shared" si="3"/>
        <v>62031.360000000001</v>
      </c>
      <c r="N15" s="115" t="e">
        <f t="shared" si="4"/>
        <v>#REF!</v>
      </c>
      <c r="O15" s="119">
        <f t="shared" si="0"/>
        <v>36054.74</v>
      </c>
      <c r="P15" s="115" t="e">
        <f t="shared" si="5"/>
        <v>#REF!</v>
      </c>
      <c r="Q15" s="119">
        <f t="shared" si="1"/>
        <v>19559.22</v>
      </c>
      <c r="R15" s="115" t="e">
        <f t="shared" si="6"/>
        <v>#REF!</v>
      </c>
      <c r="S15" s="119">
        <f t="shared" si="2"/>
        <v>6417.4</v>
      </c>
      <c r="T15" s="115" t="e">
        <f t="shared" si="7"/>
        <v>#REF!</v>
      </c>
      <c r="U15" s="100"/>
    </row>
    <row r="16" spans="1:23" ht="33">
      <c r="A16" s="53" t="s">
        <v>7</v>
      </c>
      <c r="B16" s="99" t="s">
        <v>8</v>
      </c>
      <c r="C16" s="115">
        <f>E16+G16+I16</f>
        <v>11193.21</v>
      </c>
      <c r="D16" s="115" t="e">
        <f>C16/$C$10*1000</f>
        <v>#REF!</v>
      </c>
      <c r="E16" s="115">
        <f>'Додаток2 скор'!H18</f>
        <v>9516.1200000000008</v>
      </c>
      <c r="F16" s="115" t="e">
        <f>E16/$E$10*1000</f>
        <v>#REF!</v>
      </c>
      <c r="G16" s="115">
        <f>'Додаток2 скор'!M18</f>
        <v>1262.77</v>
      </c>
      <c r="H16" s="115" t="e">
        <f>G16/$G$10*1000</f>
        <v>#REF!</v>
      </c>
      <c r="I16" s="115">
        <f>'Додаток2 скор'!R18</f>
        <v>414.32</v>
      </c>
      <c r="J16" s="115" t="e">
        <f>I16/$I$10*1000</f>
        <v>#REF!</v>
      </c>
      <c r="K16" s="55"/>
      <c r="L16" s="66"/>
      <c r="M16" s="119">
        <f t="shared" si="3"/>
        <v>11193.21</v>
      </c>
      <c r="N16" s="115" t="e">
        <f t="shared" si="4"/>
        <v>#REF!</v>
      </c>
      <c r="O16" s="119">
        <f t="shared" si="0"/>
        <v>9516.1200000000008</v>
      </c>
      <c r="P16" s="115" t="e">
        <f t="shared" si="5"/>
        <v>#REF!</v>
      </c>
      <c r="Q16" s="119">
        <f t="shared" si="1"/>
        <v>1262.77</v>
      </c>
      <c r="R16" s="115" t="e">
        <f t="shared" si="6"/>
        <v>#REF!</v>
      </c>
      <c r="S16" s="119">
        <f t="shared" si="2"/>
        <v>414.32</v>
      </c>
      <c r="T16" s="115" t="e">
        <f t="shared" si="7"/>
        <v>#REF!</v>
      </c>
      <c r="U16" s="100"/>
    </row>
    <row r="17" spans="1:21" ht="51.75" customHeight="1">
      <c r="A17" s="53" t="s">
        <v>9</v>
      </c>
      <c r="B17" s="99" t="s">
        <v>155</v>
      </c>
      <c r="C17" s="115">
        <f>E17+G17+I17</f>
        <v>0</v>
      </c>
      <c r="D17" s="115" t="e">
        <f>C17/$C$10*1000</f>
        <v>#REF!</v>
      </c>
      <c r="E17" s="115">
        <f>'Додаток2 скор'!H21</f>
        <v>0</v>
      </c>
      <c r="F17" s="115" t="e">
        <f>E17/$E$10*1000</f>
        <v>#REF!</v>
      </c>
      <c r="G17" s="115">
        <f>'Додаток2 скор'!M21</f>
        <v>0</v>
      </c>
      <c r="H17" s="115" t="e">
        <f>G17/$G$10*1000</f>
        <v>#REF!</v>
      </c>
      <c r="I17" s="115">
        <f>'Додаток2 скор'!R21</f>
        <v>0</v>
      </c>
      <c r="J17" s="115" t="e">
        <f>I17/$I$10*1000</f>
        <v>#REF!</v>
      </c>
      <c r="K17" s="55"/>
      <c r="L17" s="66"/>
      <c r="M17" s="119">
        <f t="shared" si="3"/>
        <v>0</v>
      </c>
      <c r="N17" s="115" t="e">
        <f t="shared" si="4"/>
        <v>#REF!</v>
      </c>
      <c r="O17" s="119">
        <f t="shared" si="0"/>
        <v>0</v>
      </c>
      <c r="P17" s="115" t="e">
        <f t="shared" si="5"/>
        <v>#REF!</v>
      </c>
      <c r="Q17" s="119">
        <f t="shared" si="1"/>
        <v>0</v>
      </c>
      <c r="R17" s="115" t="e">
        <f t="shared" si="6"/>
        <v>#REF!</v>
      </c>
      <c r="S17" s="119">
        <f t="shared" si="2"/>
        <v>0</v>
      </c>
      <c r="T17" s="115" t="e">
        <f t="shared" si="7"/>
        <v>#REF!</v>
      </c>
      <c r="U17" s="100"/>
    </row>
    <row r="18" spans="1:21" s="28" customFormat="1" ht="51.75" customHeight="1">
      <c r="A18" s="103" t="s">
        <v>63</v>
      </c>
      <c r="B18" s="98" t="s">
        <v>165</v>
      </c>
      <c r="C18" s="114">
        <f>E18+G18+I18</f>
        <v>18525.830000000002</v>
      </c>
      <c r="D18" s="114">
        <f>ROUND(C18/C11/12*1000,2)</f>
        <v>8312.32</v>
      </c>
      <c r="E18" s="114">
        <f>'Додаток2 скор'!H59-'Додаток 5'!E14</f>
        <v>15226.84</v>
      </c>
      <c r="F18" s="114">
        <f>ROUND(E18/E11/12*1000,2)</f>
        <v>8880.2800000000007</v>
      </c>
      <c r="G18" s="114">
        <f>'Додаток2 скор'!M51-'Додаток 5'!G14</f>
        <v>2484</v>
      </c>
      <c r="H18" s="114">
        <f>ROUND(G18/G11/12*1000,2)</f>
        <v>5658.42</v>
      </c>
      <c r="I18" s="114">
        <f>'Додаток2 скор'!R51-'Додаток 5'!I14</f>
        <v>814.99</v>
      </c>
      <c r="J18" s="114">
        <f>ROUND(I18/I11/12*1000,2)</f>
        <v>10859.44</v>
      </c>
      <c r="K18" s="56"/>
      <c r="L18" s="65"/>
      <c r="M18" s="117">
        <f t="shared" si="3"/>
        <v>18525.830000000002</v>
      </c>
      <c r="N18" s="114">
        <f t="shared" si="4"/>
        <v>8312.32</v>
      </c>
      <c r="O18" s="117">
        <f t="shared" si="0"/>
        <v>15226.84</v>
      </c>
      <c r="P18" s="114">
        <f t="shared" si="5"/>
        <v>8880.2800000000007</v>
      </c>
      <c r="Q18" s="117">
        <f t="shared" si="1"/>
        <v>2484</v>
      </c>
      <c r="R18" s="114">
        <f t="shared" si="6"/>
        <v>5658.42</v>
      </c>
      <c r="S18" s="117">
        <f t="shared" si="2"/>
        <v>814.99</v>
      </c>
      <c r="T18" s="114">
        <f t="shared" si="7"/>
        <v>10859.44</v>
      </c>
      <c r="U18" s="100"/>
    </row>
    <row r="19" spans="1:21" s="28" customFormat="1" ht="34.5" customHeight="1">
      <c r="A19" s="103">
        <v>4</v>
      </c>
      <c r="B19" s="98" t="s">
        <v>151</v>
      </c>
      <c r="C19" s="114">
        <f t="shared" ref="C19:C25" si="8">E19+G19+I19</f>
        <v>6713.23</v>
      </c>
      <c r="D19" s="78"/>
      <c r="E19" s="114">
        <f>E20+E21</f>
        <v>0</v>
      </c>
      <c r="F19" s="78"/>
      <c r="G19" s="114">
        <f>G20+G21</f>
        <v>5733.11</v>
      </c>
      <c r="H19" s="78"/>
      <c r="I19" s="114">
        <f>I20+I21</f>
        <v>980.12</v>
      </c>
      <c r="J19" s="78"/>
      <c r="K19" s="54"/>
      <c r="L19" s="65"/>
      <c r="M19" s="117">
        <f t="shared" si="3"/>
        <v>6713.23</v>
      </c>
      <c r="N19" s="78"/>
      <c r="O19" s="117">
        <f t="shared" si="0"/>
        <v>0</v>
      </c>
      <c r="P19" s="78"/>
      <c r="Q19" s="117">
        <f t="shared" si="1"/>
        <v>5733.11</v>
      </c>
      <c r="R19" s="78"/>
      <c r="S19" s="117">
        <f t="shared" si="2"/>
        <v>980.12</v>
      </c>
      <c r="T19" s="78"/>
    </row>
    <row r="20" spans="1:21" ht="16.5">
      <c r="A20" s="53" t="s">
        <v>92</v>
      </c>
      <c r="B20" s="99" t="s">
        <v>10</v>
      </c>
      <c r="C20" s="115">
        <f t="shared" si="8"/>
        <v>5979.84</v>
      </c>
      <c r="D20" s="115" t="e">
        <f>ROUND(C20/C10*1000,2)</f>
        <v>#REF!</v>
      </c>
      <c r="E20" s="79">
        <v>0</v>
      </c>
      <c r="F20" s="115" t="e">
        <f>ROUND(E20/E10*1000,2)</f>
        <v>#REF!</v>
      </c>
      <c r="G20" s="79">
        <v>5106.79</v>
      </c>
      <c r="H20" s="115" t="e">
        <f>ROUND(G20/G10*1000,2)</f>
        <v>#REF!</v>
      </c>
      <c r="I20" s="79">
        <v>873.05</v>
      </c>
      <c r="J20" s="115" t="e">
        <f>ROUND(I20/I10*1000,2)</f>
        <v>#REF!</v>
      </c>
      <c r="K20" s="55"/>
      <c r="L20" s="66"/>
      <c r="M20" s="119">
        <f t="shared" si="3"/>
        <v>5979.84</v>
      </c>
      <c r="N20" s="115" t="e">
        <f t="shared" si="4"/>
        <v>#REF!</v>
      </c>
      <c r="O20" s="119">
        <f t="shared" si="0"/>
        <v>0</v>
      </c>
      <c r="P20" s="115" t="e">
        <f t="shared" si="5"/>
        <v>#REF!</v>
      </c>
      <c r="Q20" s="119">
        <f t="shared" si="1"/>
        <v>5106.79</v>
      </c>
      <c r="R20" s="115" t="e">
        <f t="shared" si="6"/>
        <v>#REF!</v>
      </c>
      <c r="S20" s="119">
        <f t="shared" si="2"/>
        <v>873.05</v>
      </c>
      <c r="T20" s="115" t="e">
        <f t="shared" si="7"/>
        <v>#REF!</v>
      </c>
    </row>
    <row r="21" spans="1:21" ht="16.5">
      <c r="A21" s="53" t="s">
        <v>93</v>
      </c>
      <c r="B21" s="99" t="s">
        <v>11</v>
      </c>
      <c r="C21" s="115">
        <f t="shared" si="8"/>
        <v>733.39</v>
      </c>
      <c r="D21" s="115">
        <f>ROUND(C21/12/C11*1000,2)</f>
        <v>329.06</v>
      </c>
      <c r="E21" s="79">
        <v>0</v>
      </c>
      <c r="F21" s="115">
        <f>ROUND(E21/12/E11*1000,2)</f>
        <v>0</v>
      </c>
      <c r="G21" s="79">
        <v>626.32000000000005</v>
      </c>
      <c r="H21" s="115">
        <f>ROUND(G21/12/G11*1000,2)</f>
        <v>1426.72</v>
      </c>
      <c r="I21" s="79">
        <v>107.07</v>
      </c>
      <c r="J21" s="115">
        <f>ROUND(I21/12/I11*1000,2)</f>
        <v>1426.67</v>
      </c>
      <c r="K21" s="55"/>
      <c r="L21" s="66"/>
      <c r="M21" s="119">
        <f t="shared" si="3"/>
        <v>733.39</v>
      </c>
      <c r="N21" s="115">
        <f t="shared" si="4"/>
        <v>329.06</v>
      </c>
      <c r="O21" s="119">
        <f t="shared" si="0"/>
        <v>0</v>
      </c>
      <c r="P21" s="115">
        <f t="shared" si="5"/>
        <v>0</v>
      </c>
      <c r="Q21" s="119">
        <f t="shared" si="1"/>
        <v>626.32000000000005</v>
      </c>
      <c r="R21" s="115">
        <f t="shared" si="6"/>
        <v>1426.72</v>
      </c>
      <c r="S21" s="119">
        <f t="shared" si="2"/>
        <v>107.07</v>
      </c>
      <c r="T21" s="115">
        <f t="shared" si="7"/>
        <v>1426.67</v>
      </c>
    </row>
    <row r="22" spans="1:21" s="28" customFormat="1" ht="33.75" customHeight="1">
      <c r="A22" s="103">
        <v>5</v>
      </c>
      <c r="B22" s="98" t="s">
        <v>153</v>
      </c>
      <c r="C22" s="78"/>
      <c r="D22" s="114" t="e">
        <f>D23+D24</f>
        <v>#REF!</v>
      </c>
      <c r="E22" s="78"/>
      <c r="F22" s="114" t="e">
        <f>F23+F24</f>
        <v>#REF!</v>
      </c>
      <c r="G22" s="78"/>
      <c r="H22" s="114" t="e">
        <f>H23+H24</f>
        <v>#REF!</v>
      </c>
      <c r="I22" s="78"/>
      <c r="J22" s="114" t="e">
        <f>J23+J24</f>
        <v>#REF!</v>
      </c>
      <c r="K22" s="54"/>
      <c r="L22" s="65"/>
      <c r="M22" s="114">
        <f t="shared" si="3"/>
        <v>0</v>
      </c>
      <c r="N22" s="114" t="e">
        <f t="shared" si="4"/>
        <v>#REF!</v>
      </c>
      <c r="O22" s="114">
        <f t="shared" si="0"/>
        <v>0</v>
      </c>
      <c r="P22" s="114" t="e">
        <f t="shared" si="5"/>
        <v>#REF!</v>
      </c>
      <c r="Q22" s="114">
        <f t="shared" si="1"/>
        <v>0</v>
      </c>
      <c r="R22" s="114" t="e">
        <f t="shared" si="6"/>
        <v>#REF!</v>
      </c>
      <c r="S22" s="114">
        <f t="shared" si="2"/>
        <v>0</v>
      </c>
      <c r="T22" s="114" t="e">
        <f t="shared" si="7"/>
        <v>#REF!</v>
      </c>
      <c r="U22" s="100"/>
    </row>
    <row r="23" spans="1:21" ht="16.5">
      <c r="A23" s="53" t="s">
        <v>94</v>
      </c>
      <c r="B23" s="99" t="s">
        <v>110</v>
      </c>
      <c r="C23" s="79"/>
      <c r="D23" s="115" t="e">
        <f>D14</f>
        <v>#REF!</v>
      </c>
      <c r="E23" s="79"/>
      <c r="F23" s="115" t="e">
        <f>F14</f>
        <v>#REF!</v>
      </c>
      <c r="G23" s="79"/>
      <c r="H23" s="115" t="e">
        <f>H14</f>
        <v>#REF!</v>
      </c>
      <c r="I23" s="79"/>
      <c r="J23" s="115" t="e">
        <f>J14</f>
        <v>#REF!</v>
      </c>
      <c r="K23" s="55"/>
      <c r="L23" s="66"/>
      <c r="M23" s="115">
        <f t="shared" si="3"/>
        <v>0</v>
      </c>
      <c r="N23" s="115" t="e">
        <f t="shared" si="4"/>
        <v>#REF!</v>
      </c>
      <c r="O23" s="115">
        <f t="shared" si="0"/>
        <v>0</v>
      </c>
      <c r="P23" s="115" t="e">
        <f t="shared" si="5"/>
        <v>#REF!</v>
      </c>
      <c r="Q23" s="115">
        <f t="shared" si="1"/>
        <v>0</v>
      </c>
      <c r="R23" s="115" t="e">
        <f t="shared" si="6"/>
        <v>#REF!</v>
      </c>
      <c r="S23" s="115">
        <f t="shared" si="2"/>
        <v>0</v>
      </c>
      <c r="T23" s="115" t="e">
        <f t="shared" si="7"/>
        <v>#REF!</v>
      </c>
      <c r="U23" s="100"/>
    </row>
    <row r="24" spans="1:21" ht="16.5">
      <c r="A24" s="53" t="s">
        <v>95</v>
      </c>
      <c r="B24" s="99" t="s">
        <v>111</v>
      </c>
      <c r="C24" s="79"/>
      <c r="D24" s="115" t="e">
        <f>D20</f>
        <v>#REF!</v>
      </c>
      <c r="E24" s="79"/>
      <c r="F24" s="115" t="e">
        <f>F20</f>
        <v>#REF!</v>
      </c>
      <c r="G24" s="79"/>
      <c r="H24" s="115" t="e">
        <f>H20</f>
        <v>#REF!</v>
      </c>
      <c r="I24" s="79"/>
      <c r="J24" s="115" t="e">
        <f>J20</f>
        <v>#REF!</v>
      </c>
      <c r="K24" s="55"/>
      <c r="L24" s="66"/>
      <c r="M24" s="115">
        <f t="shared" si="3"/>
        <v>0</v>
      </c>
      <c r="N24" s="115" t="e">
        <f t="shared" si="4"/>
        <v>#REF!</v>
      </c>
      <c r="O24" s="115">
        <f t="shared" si="0"/>
        <v>0</v>
      </c>
      <c r="P24" s="115" t="e">
        <f t="shared" si="5"/>
        <v>#REF!</v>
      </c>
      <c r="Q24" s="115">
        <f t="shared" si="1"/>
        <v>0</v>
      </c>
      <c r="R24" s="115" t="e">
        <f t="shared" si="6"/>
        <v>#REF!</v>
      </c>
      <c r="S24" s="115">
        <f t="shared" si="2"/>
        <v>0</v>
      </c>
      <c r="T24" s="115" t="e">
        <f t="shared" si="7"/>
        <v>#REF!</v>
      </c>
      <c r="U24" s="100"/>
    </row>
    <row r="25" spans="1:21" ht="16.5" hidden="1" customHeight="1">
      <c r="A25" s="53" t="s">
        <v>12</v>
      </c>
      <c r="B25" s="99" t="s">
        <v>13</v>
      </c>
      <c r="C25" s="120">
        <f t="shared" si="8"/>
        <v>12.62</v>
      </c>
      <c r="D25" s="88">
        <v>0</v>
      </c>
      <c r="E25" s="88">
        <v>0</v>
      </c>
      <c r="F25" s="88">
        <v>0</v>
      </c>
      <c r="G25" s="88">
        <v>2.94</v>
      </c>
      <c r="H25" s="88">
        <v>0</v>
      </c>
      <c r="I25" s="88">
        <v>9.68</v>
      </c>
      <c r="J25" s="88">
        <v>0</v>
      </c>
      <c r="K25" s="55"/>
      <c r="L25" s="66"/>
      <c r="M25" s="120">
        <f t="shared" si="3"/>
        <v>12.62</v>
      </c>
      <c r="N25" s="120">
        <f t="shared" si="4"/>
        <v>0</v>
      </c>
      <c r="O25" s="120">
        <f t="shared" si="0"/>
        <v>0</v>
      </c>
      <c r="P25" s="120">
        <f t="shared" si="5"/>
        <v>0</v>
      </c>
      <c r="Q25" s="120">
        <f t="shared" si="1"/>
        <v>2.94</v>
      </c>
      <c r="R25" s="120">
        <f t="shared" si="6"/>
        <v>0</v>
      </c>
      <c r="S25" s="120">
        <f t="shared" si="2"/>
        <v>9.68</v>
      </c>
      <c r="T25" s="120">
        <f t="shared" si="7"/>
        <v>0</v>
      </c>
      <c r="U25" s="100"/>
    </row>
    <row r="26" spans="1:21" s="28" customFormat="1" ht="61.5" customHeight="1">
      <c r="A26" s="103">
        <v>6</v>
      </c>
      <c r="B26" s="104" t="s">
        <v>166</v>
      </c>
      <c r="C26" s="90"/>
      <c r="D26" s="121">
        <f>D27+D28</f>
        <v>8641.3799999999992</v>
      </c>
      <c r="E26" s="90"/>
      <c r="F26" s="121">
        <f>F27+F28</f>
        <v>8880.2800000000007</v>
      </c>
      <c r="G26" s="90"/>
      <c r="H26" s="121">
        <f>H27+H28</f>
        <v>7085.14</v>
      </c>
      <c r="I26" s="90"/>
      <c r="J26" s="121">
        <f>J27+J28</f>
        <v>12286.11</v>
      </c>
      <c r="K26" s="54"/>
      <c r="L26" s="89"/>
      <c r="M26" s="121">
        <f t="shared" si="3"/>
        <v>0</v>
      </c>
      <c r="N26" s="121">
        <f t="shared" si="4"/>
        <v>8641.3799999999992</v>
      </c>
      <c r="O26" s="121">
        <f t="shared" si="0"/>
        <v>0</v>
      </c>
      <c r="P26" s="121">
        <f t="shared" si="5"/>
        <v>8880.2800000000007</v>
      </c>
      <c r="Q26" s="121">
        <f t="shared" si="1"/>
        <v>0</v>
      </c>
      <c r="R26" s="121">
        <f t="shared" si="6"/>
        <v>7085.14</v>
      </c>
      <c r="S26" s="121">
        <f t="shared" si="2"/>
        <v>0</v>
      </c>
      <c r="T26" s="121">
        <f t="shared" si="7"/>
        <v>12286.11</v>
      </c>
      <c r="U26" s="100"/>
    </row>
    <row r="27" spans="1:21" ht="15" customHeight="1">
      <c r="A27" s="53" t="s">
        <v>96</v>
      </c>
      <c r="B27" s="99" t="s">
        <v>112</v>
      </c>
      <c r="C27" s="91"/>
      <c r="D27" s="122">
        <f>D18</f>
        <v>8312.32</v>
      </c>
      <c r="E27" s="91"/>
      <c r="F27" s="122">
        <f>F18</f>
        <v>8880.2800000000007</v>
      </c>
      <c r="G27" s="91"/>
      <c r="H27" s="122">
        <f>H18</f>
        <v>5658.42</v>
      </c>
      <c r="I27" s="91"/>
      <c r="J27" s="122">
        <f>J18</f>
        <v>10859.44</v>
      </c>
      <c r="K27" s="55"/>
      <c r="L27" s="66"/>
      <c r="M27" s="122">
        <f t="shared" si="3"/>
        <v>0</v>
      </c>
      <c r="N27" s="122">
        <f t="shared" si="4"/>
        <v>8312.32</v>
      </c>
      <c r="O27" s="122">
        <f t="shared" si="0"/>
        <v>0</v>
      </c>
      <c r="P27" s="122">
        <f t="shared" si="5"/>
        <v>8880.2800000000007</v>
      </c>
      <c r="Q27" s="122">
        <f t="shared" si="1"/>
        <v>0</v>
      </c>
      <c r="R27" s="122">
        <f t="shared" si="6"/>
        <v>5658.42</v>
      </c>
      <c r="S27" s="122">
        <f t="shared" si="2"/>
        <v>0</v>
      </c>
      <c r="T27" s="122">
        <f t="shared" si="7"/>
        <v>10859.44</v>
      </c>
    </row>
    <row r="28" spans="1:21" ht="16.5" customHeight="1">
      <c r="A28" s="53" t="s">
        <v>97</v>
      </c>
      <c r="B28" s="99" t="s">
        <v>111</v>
      </c>
      <c r="C28" s="91"/>
      <c r="D28" s="122">
        <f>D21</f>
        <v>329.06</v>
      </c>
      <c r="E28" s="91"/>
      <c r="F28" s="122">
        <f>F21</f>
        <v>0</v>
      </c>
      <c r="G28" s="91"/>
      <c r="H28" s="122">
        <f>H21</f>
        <v>1426.72</v>
      </c>
      <c r="I28" s="91"/>
      <c r="J28" s="122">
        <f>J21</f>
        <v>1426.67</v>
      </c>
      <c r="K28" s="55"/>
      <c r="L28" s="66"/>
      <c r="M28" s="122">
        <f t="shared" si="3"/>
        <v>0</v>
      </c>
      <c r="N28" s="122">
        <f t="shared" si="4"/>
        <v>329.06</v>
      </c>
      <c r="O28" s="122">
        <f t="shared" si="0"/>
        <v>0</v>
      </c>
      <c r="P28" s="122">
        <f t="shared" si="5"/>
        <v>0</v>
      </c>
      <c r="Q28" s="122">
        <f t="shared" si="1"/>
        <v>0</v>
      </c>
      <c r="R28" s="122">
        <f t="shared" si="6"/>
        <v>1426.72</v>
      </c>
      <c r="S28" s="122">
        <f t="shared" si="2"/>
        <v>0</v>
      </c>
      <c r="T28" s="122">
        <f t="shared" si="7"/>
        <v>1426.67</v>
      </c>
    </row>
    <row r="29" spans="1:21" ht="13.5" hidden="1" customHeight="1">
      <c r="A29" s="94" t="s">
        <v>14</v>
      </c>
      <c r="B29" s="105" t="s">
        <v>13</v>
      </c>
      <c r="C29" s="92">
        <v>2.88</v>
      </c>
      <c r="D29" s="93"/>
      <c r="E29" s="93">
        <v>0</v>
      </c>
      <c r="F29" s="124" t="e">
        <f>E29/$E$10*1000</f>
        <v>#REF!</v>
      </c>
      <c r="G29" s="93">
        <v>15</v>
      </c>
      <c r="H29" s="93"/>
      <c r="I29" s="93">
        <v>23.5</v>
      </c>
      <c r="J29" s="106"/>
      <c r="K29" s="11"/>
      <c r="L29" s="12"/>
      <c r="M29" s="123">
        <f t="shared" si="3"/>
        <v>2.88</v>
      </c>
      <c r="N29" s="123">
        <f t="shared" si="4"/>
        <v>0</v>
      </c>
      <c r="O29" s="123">
        <f t="shared" si="0"/>
        <v>0</v>
      </c>
      <c r="P29" s="124" t="e">
        <f t="shared" si="5"/>
        <v>#REF!</v>
      </c>
      <c r="Q29" s="123">
        <f t="shared" si="1"/>
        <v>15</v>
      </c>
      <c r="R29" s="123">
        <f t="shared" si="6"/>
        <v>0</v>
      </c>
      <c r="S29" s="123">
        <f t="shared" si="2"/>
        <v>23.5</v>
      </c>
      <c r="T29" s="125">
        <f t="shared" si="7"/>
        <v>0</v>
      </c>
    </row>
    <row r="30" spans="1:21" ht="18.75">
      <c r="A30" s="1216" t="s">
        <v>1</v>
      </c>
      <c r="B30" s="1216"/>
      <c r="C30" s="1216"/>
      <c r="D30" s="1216"/>
      <c r="E30" s="1216"/>
      <c r="F30" s="1216"/>
      <c r="G30" s="1216"/>
      <c r="H30" s="1216"/>
      <c r="I30" s="1216"/>
      <c r="J30" s="1216"/>
      <c r="K30" s="1217"/>
      <c r="L30" s="1217"/>
      <c r="M30" s="1217"/>
      <c r="N30" s="1217"/>
      <c r="O30" s="1217"/>
      <c r="P30" s="1217"/>
      <c r="Q30" s="1217"/>
      <c r="R30" s="1217"/>
      <c r="S30" s="1217"/>
      <c r="T30" s="1217"/>
    </row>
    <row r="31" spans="1:21" ht="40.5" hidden="1" customHeight="1">
      <c r="A31" s="94">
        <v>7</v>
      </c>
      <c r="B31" s="105" t="s">
        <v>15</v>
      </c>
      <c r="C31" s="94">
        <v>374.15</v>
      </c>
      <c r="D31" s="44"/>
      <c r="E31" s="44">
        <v>312.89999999999998</v>
      </c>
      <c r="F31" s="44"/>
      <c r="G31" s="44">
        <v>42.65</v>
      </c>
      <c r="H31" s="44"/>
      <c r="I31" s="44">
        <v>18.600000000000001</v>
      </c>
      <c r="J31" s="107"/>
      <c r="K31" s="13"/>
      <c r="L31" s="12"/>
      <c r="M31" s="124">
        <f t="shared" si="3"/>
        <v>374.15</v>
      </c>
      <c r="N31" s="124">
        <f t="shared" si="4"/>
        <v>0</v>
      </c>
      <c r="O31" s="124">
        <f t="shared" si="0"/>
        <v>312.89999999999998</v>
      </c>
      <c r="P31" s="124">
        <f t="shared" si="5"/>
        <v>0</v>
      </c>
      <c r="Q31" s="124">
        <f t="shared" si="1"/>
        <v>42.65</v>
      </c>
      <c r="R31" s="124">
        <f t="shared" si="6"/>
        <v>0</v>
      </c>
      <c r="S31" s="124">
        <f t="shared" si="2"/>
        <v>18.600000000000001</v>
      </c>
      <c r="T31" s="126">
        <f t="shared" si="7"/>
        <v>0</v>
      </c>
    </row>
    <row r="32" spans="1:21" s="28" customFormat="1" ht="48" customHeight="1">
      <c r="A32" s="103">
        <v>7</v>
      </c>
      <c r="B32" s="98" t="s">
        <v>168</v>
      </c>
      <c r="C32" s="114" t="e">
        <f>E32+G32+I32</f>
        <v>#REF!</v>
      </c>
      <c r="D32" s="114" t="e">
        <f>ROUND(C32/12/C11*1000,2)</f>
        <v>#REF!</v>
      </c>
      <c r="E32" s="114" t="e">
        <f>Додаток3!I48/Додаток3!I58*Додаток3!#REF!</f>
        <v>#REF!</v>
      </c>
      <c r="F32" s="114" t="e">
        <f>ROUND(E32/E11/12*1000,2)</f>
        <v>#REF!</v>
      </c>
      <c r="G32" s="114" t="e">
        <f>Додаток3!O48/Додаток3!O58*Додаток3!#REF!</f>
        <v>#REF!</v>
      </c>
      <c r="H32" s="114" t="e">
        <f>ROUND(G32/G11/12*1000,2)</f>
        <v>#REF!</v>
      </c>
      <c r="I32" s="114" t="e">
        <f>Додаток3!U48/Додаток3!U58*Додаток3!#REF!</f>
        <v>#REF!</v>
      </c>
      <c r="J32" s="114" t="e">
        <f>ROUND(I32/I11/12*1000,2)</f>
        <v>#REF!</v>
      </c>
      <c r="K32" s="54"/>
      <c r="L32" s="65"/>
      <c r="M32" s="117" t="e">
        <f t="shared" si="3"/>
        <v>#REF!</v>
      </c>
      <c r="N32" s="114" t="e">
        <f t="shared" si="4"/>
        <v>#REF!</v>
      </c>
      <c r="O32" s="117" t="e">
        <f t="shared" si="0"/>
        <v>#REF!</v>
      </c>
      <c r="P32" s="114" t="e">
        <f t="shared" si="5"/>
        <v>#REF!</v>
      </c>
      <c r="Q32" s="117" t="e">
        <f t="shared" si="1"/>
        <v>#REF!</v>
      </c>
      <c r="R32" s="114" t="e">
        <f t="shared" si="6"/>
        <v>#REF!</v>
      </c>
      <c r="S32" s="117" t="e">
        <f t="shared" si="2"/>
        <v>#REF!</v>
      </c>
      <c r="T32" s="114" t="e">
        <f t="shared" si="7"/>
        <v>#REF!</v>
      </c>
      <c r="U32" s="100"/>
    </row>
    <row r="33" spans="1:21" ht="36" customHeight="1">
      <c r="A33" s="53">
        <v>8</v>
      </c>
      <c r="B33" s="99" t="s">
        <v>137</v>
      </c>
      <c r="C33" s="115">
        <f>E33+G33+I33</f>
        <v>0</v>
      </c>
      <c r="D33" s="115">
        <f>ROUND(C33/C11/12*1000,2)</f>
        <v>0</v>
      </c>
      <c r="E33" s="115">
        <f>Додаток4!I49</f>
        <v>0</v>
      </c>
      <c r="F33" s="115">
        <f>ROUND(E33/12/E11*1000,2)</f>
        <v>0</v>
      </c>
      <c r="G33" s="115">
        <f>Додаток4!O49</f>
        <v>0</v>
      </c>
      <c r="H33" s="115">
        <f>ROUND(G33/12/G11*1000,2)</f>
        <v>0</v>
      </c>
      <c r="I33" s="115">
        <f>Додаток4!U49</f>
        <v>0</v>
      </c>
      <c r="J33" s="115">
        <f>ROUND(I33/12/I11*1000,2)</f>
        <v>0</v>
      </c>
      <c r="K33" s="87"/>
      <c r="L33" s="66"/>
      <c r="M33" s="115">
        <f t="shared" si="3"/>
        <v>0</v>
      </c>
      <c r="N33" s="115">
        <f t="shared" si="4"/>
        <v>0</v>
      </c>
      <c r="O33" s="115">
        <f t="shared" si="0"/>
        <v>0</v>
      </c>
      <c r="P33" s="115">
        <f t="shared" si="5"/>
        <v>0</v>
      </c>
      <c r="Q33" s="115">
        <f t="shared" si="1"/>
        <v>0</v>
      </c>
      <c r="R33" s="115">
        <f t="shared" si="6"/>
        <v>0</v>
      </c>
      <c r="S33" s="115">
        <f t="shared" si="2"/>
        <v>0</v>
      </c>
      <c r="T33" s="115">
        <f t="shared" si="7"/>
        <v>0</v>
      </c>
    </row>
    <row r="34" spans="1:21" s="28" customFormat="1" ht="53.25" customHeight="1">
      <c r="A34" s="103">
        <v>9</v>
      </c>
      <c r="B34" s="98" t="s">
        <v>154</v>
      </c>
      <c r="C34" s="90"/>
      <c r="D34" s="121" t="e">
        <f>D35+D36</f>
        <v>#REF!</v>
      </c>
      <c r="E34" s="90"/>
      <c r="F34" s="121" t="e">
        <f>F35+F36</f>
        <v>#REF!</v>
      </c>
      <c r="G34" s="90"/>
      <c r="H34" s="121" t="e">
        <f>H35+H36</f>
        <v>#REF!</v>
      </c>
      <c r="I34" s="90"/>
      <c r="J34" s="121" t="e">
        <f>J35+J36-0.01</f>
        <v>#REF!</v>
      </c>
      <c r="K34" s="54"/>
      <c r="L34" s="65"/>
      <c r="M34" s="121">
        <f t="shared" si="3"/>
        <v>0</v>
      </c>
      <c r="N34" s="121" t="e">
        <f t="shared" si="4"/>
        <v>#REF!</v>
      </c>
      <c r="O34" s="121">
        <f t="shared" si="0"/>
        <v>0</v>
      </c>
      <c r="P34" s="121" t="e">
        <f t="shared" si="5"/>
        <v>#REF!</v>
      </c>
      <c r="Q34" s="121">
        <f t="shared" si="1"/>
        <v>0</v>
      </c>
      <c r="R34" s="121" t="e">
        <f t="shared" si="6"/>
        <v>#REF!</v>
      </c>
      <c r="S34" s="121">
        <f t="shared" si="2"/>
        <v>0</v>
      </c>
      <c r="T34" s="121" t="e">
        <f t="shared" si="7"/>
        <v>#REF!</v>
      </c>
    </row>
    <row r="35" spans="1:21" ht="15" customHeight="1">
      <c r="A35" s="53" t="s">
        <v>107</v>
      </c>
      <c r="B35" s="99" t="s">
        <v>112</v>
      </c>
      <c r="C35" s="79"/>
      <c r="D35" s="115" t="e">
        <f>D32</f>
        <v>#REF!</v>
      </c>
      <c r="E35" s="79"/>
      <c r="F35" s="115" t="e">
        <f>F32</f>
        <v>#REF!</v>
      </c>
      <c r="G35" s="79"/>
      <c r="H35" s="115" t="e">
        <f>H32</f>
        <v>#REF!</v>
      </c>
      <c r="I35" s="79"/>
      <c r="J35" s="115" t="e">
        <f>J32</f>
        <v>#REF!</v>
      </c>
      <c r="K35" s="55"/>
      <c r="L35" s="66"/>
      <c r="M35" s="115">
        <f t="shared" si="3"/>
        <v>0</v>
      </c>
      <c r="N35" s="115" t="e">
        <f t="shared" si="4"/>
        <v>#REF!</v>
      </c>
      <c r="O35" s="115">
        <f t="shared" si="0"/>
        <v>0</v>
      </c>
      <c r="P35" s="115" t="e">
        <f t="shared" si="5"/>
        <v>#REF!</v>
      </c>
      <c r="Q35" s="115">
        <f t="shared" si="1"/>
        <v>0</v>
      </c>
      <c r="R35" s="115" t="e">
        <f t="shared" si="6"/>
        <v>#REF!</v>
      </c>
      <c r="S35" s="115">
        <f t="shared" si="2"/>
        <v>0</v>
      </c>
      <c r="T35" s="115" t="e">
        <f t="shared" si="7"/>
        <v>#REF!</v>
      </c>
    </row>
    <row r="36" spans="1:21" ht="16.5" customHeight="1">
      <c r="A36" s="53" t="s">
        <v>108</v>
      </c>
      <c r="B36" s="99" t="s">
        <v>113</v>
      </c>
      <c r="C36" s="79"/>
      <c r="D36" s="115">
        <f>D33</f>
        <v>0</v>
      </c>
      <c r="E36" s="79"/>
      <c r="F36" s="115">
        <f>F33</f>
        <v>0</v>
      </c>
      <c r="G36" s="79"/>
      <c r="H36" s="115">
        <f>H33</f>
        <v>0</v>
      </c>
      <c r="I36" s="79"/>
      <c r="J36" s="115">
        <f>J33</f>
        <v>0</v>
      </c>
      <c r="K36" s="55"/>
      <c r="L36" s="66"/>
      <c r="M36" s="115">
        <f t="shared" si="3"/>
        <v>0</v>
      </c>
      <c r="N36" s="115">
        <f t="shared" si="4"/>
        <v>0</v>
      </c>
      <c r="O36" s="115">
        <f t="shared" si="0"/>
        <v>0</v>
      </c>
      <c r="P36" s="115">
        <f t="shared" si="5"/>
        <v>0</v>
      </c>
      <c r="Q36" s="115">
        <f t="shared" si="1"/>
        <v>0</v>
      </c>
      <c r="R36" s="115">
        <f t="shared" si="6"/>
        <v>0</v>
      </c>
      <c r="S36" s="115">
        <f t="shared" si="2"/>
        <v>0</v>
      </c>
      <c r="T36" s="115">
        <f t="shared" si="7"/>
        <v>0</v>
      </c>
    </row>
    <row r="37" spans="1:21" ht="13.5" hidden="1" customHeight="1">
      <c r="A37" s="94" t="s">
        <v>109</v>
      </c>
      <c r="B37" s="105" t="s">
        <v>13</v>
      </c>
      <c r="C37" s="94">
        <v>0.97</v>
      </c>
      <c r="D37" s="44"/>
      <c r="E37" s="44">
        <v>0</v>
      </c>
      <c r="F37" s="44"/>
      <c r="G37" s="44">
        <v>3.84</v>
      </c>
      <c r="H37" s="44"/>
      <c r="I37" s="44">
        <v>10.7</v>
      </c>
      <c r="J37" s="107"/>
      <c r="K37" s="11"/>
      <c r="L37" s="12"/>
      <c r="M37" s="124">
        <f t="shared" si="3"/>
        <v>0.97</v>
      </c>
      <c r="N37" s="124">
        <f t="shared" si="4"/>
        <v>0</v>
      </c>
      <c r="O37" s="124">
        <f t="shared" si="0"/>
        <v>0</v>
      </c>
      <c r="P37" s="124">
        <f t="shared" si="5"/>
        <v>0</v>
      </c>
      <c r="Q37" s="124">
        <f t="shared" si="1"/>
        <v>3.84</v>
      </c>
      <c r="R37" s="124">
        <f t="shared" si="6"/>
        <v>0</v>
      </c>
      <c r="S37" s="124">
        <f t="shared" si="2"/>
        <v>10.7</v>
      </c>
      <c r="T37" s="126">
        <f t="shared" si="7"/>
        <v>0</v>
      </c>
    </row>
    <row r="38" spans="1:21" ht="18.75">
      <c r="A38" s="1216" t="s">
        <v>2</v>
      </c>
      <c r="B38" s="1216"/>
      <c r="C38" s="1216"/>
      <c r="D38" s="1216"/>
      <c r="E38" s="1216"/>
      <c r="F38" s="1216"/>
      <c r="G38" s="1216"/>
      <c r="H38" s="1216"/>
      <c r="I38" s="1216"/>
      <c r="J38" s="1216"/>
      <c r="K38" s="1217"/>
      <c r="L38" s="1217"/>
      <c r="M38" s="1217"/>
      <c r="N38" s="1217"/>
      <c r="O38" s="1217"/>
      <c r="P38" s="1217"/>
      <c r="Q38" s="1217"/>
      <c r="R38" s="1217"/>
      <c r="S38" s="1217"/>
      <c r="T38" s="1217"/>
    </row>
    <row r="39" spans="1:21" s="28" customFormat="1" ht="49.5" customHeight="1">
      <c r="A39" s="103">
        <v>10</v>
      </c>
      <c r="B39" s="98" t="s">
        <v>16</v>
      </c>
      <c r="C39" s="114">
        <f>E39+G39+I39</f>
        <v>506.73</v>
      </c>
      <c r="D39" s="114">
        <f>ROUND(C39/12/C11*1000,2)</f>
        <v>227.36</v>
      </c>
      <c r="E39" s="114">
        <f>Додаток4!I47</f>
        <v>430.8</v>
      </c>
      <c r="F39" s="114">
        <f>ROUND(E39/12/E11*1000,2)</f>
        <v>251.24</v>
      </c>
      <c r="G39" s="114">
        <f>Додаток4!O47</f>
        <v>57.17</v>
      </c>
      <c r="H39" s="114">
        <f>ROUND(G39/12/G11*1000,2)</f>
        <v>130.22999999999999</v>
      </c>
      <c r="I39" s="114">
        <f>Додаток4!U47</f>
        <v>18.760000000000002</v>
      </c>
      <c r="J39" s="114">
        <f>ROUND(I39/12/I11*1000,2)</f>
        <v>249.97</v>
      </c>
      <c r="K39" s="54"/>
      <c r="L39" s="65"/>
      <c r="M39" s="117">
        <f t="shared" si="3"/>
        <v>506.73</v>
      </c>
      <c r="N39" s="114">
        <f t="shared" si="4"/>
        <v>227.36</v>
      </c>
      <c r="O39" s="117">
        <f t="shared" si="0"/>
        <v>430.8</v>
      </c>
      <c r="P39" s="114">
        <f t="shared" si="5"/>
        <v>251.24</v>
      </c>
      <c r="Q39" s="117">
        <f t="shared" si="1"/>
        <v>57.17</v>
      </c>
      <c r="R39" s="114">
        <f t="shared" si="6"/>
        <v>130.22999999999999</v>
      </c>
      <c r="S39" s="117">
        <f t="shared" si="2"/>
        <v>18.760000000000002</v>
      </c>
      <c r="T39" s="114">
        <f t="shared" si="7"/>
        <v>249.97</v>
      </c>
      <c r="U39" s="100"/>
    </row>
    <row r="40" spans="1:21" ht="36" customHeight="1">
      <c r="A40" s="53">
        <v>11</v>
      </c>
      <c r="B40" s="99" t="s">
        <v>136</v>
      </c>
      <c r="C40" s="115">
        <f>E40+G40+I40</f>
        <v>0</v>
      </c>
      <c r="D40" s="115">
        <f>ROUND(C40/12/C11*1000,2)</f>
        <v>0</v>
      </c>
      <c r="E40" s="115">
        <f>Додаток4!I49</f>
        <v>0</v>
      </c>
      <c r="F40" s="115">
        <f>ROUND(E40/12/E11*1000,2)</f>
        <v>0</v>
      </c>
      <c r="G40" s="115">
        <f>Додаток4!O49</f>
        <v>0</v>
      </c>
      <c r="H40" s="115">
        <f>ROUND(G40/12/G11*1000,2)</f>
        <v>0</v>
      </c>
      <c r="I40" s="115">
        <f>Додаток4!U49</f>
        <v>0</v>
      </c>
      <c r="J40" s="115">
        <f>ROUND(I40/12/I11*1000,2)</f>
        <v>0</v>
      </c>
      <c r="K40" s="87"/>
      <c r="L40" s="66"/>
      <c r="M40" s="115">
        <f t="shared" si="3"/>
        <v>0</v>
      </c>
      <c r="N40" s="115">
        <f t="shared" si="4"/>
        <v>0</v>
      </c>
      <c r="O40" s="115">
        <f t="shared" si="0"/>
        <v>0</v>
      </c>
      <c r="P40" s="115">
        <f t="shared" si="5"/>
        <v>0</v>
      </c>
      <c r="Q40" s="115">
        <f t="shared" si="1"/>
        <v>0</v>
      </c>
      <c r="R40" s="115">
        <f t="shared" si="6"/>
        <v>0</v>
      </c>
      <c r="S40" s="115">
        <f t="shared" si="2"/>
        <v>0</v>
      </c>
      <c r="T40" s="115">
        <f t="shared" si="7"/>
        <v>0</v>
      </c>
    </row>
    <row r="41" spans="1:21" s="28" customFormat="1" ht="47.25" customHeight="1">
      <c r="A41" s="103">
        <v>12</v>
      </c>
      <c r="B41" s="98" t="s">
        <v>152</v>
      </c>
      <c r="C41" s="78"/>
      <c r="D41" s="114">
        <f>D42+D43</f>
        <v>227.36</v>
      </c>
      <c r="E41" s="78"/>
      <c r="F41" s="114">
        <f>F42+F43</f>
        <v>251.24</v>
      </c>
      <c r="G41" s="78"/>
      <c r="H41" s="114">
        <f>H42+H43</f>
        <v>130.22999999999999</v>
      </c>
      <c r="I41" s="78"/>
      <c r="J41" s="114">
        <f>H41</f>
        <v>130.22999999999999</v>
      </c>
      <c r="K41" s="54"/>
      <c r="L41" s="65"/>
      <c r="M41" s="114">
        <f t="shared" si="3"/>
        <v>0</v>
      </c>
      <c r="N41" s="114">
        <f t="shared" si="4"/>
        <v>227.36</v>
      </c>
      <c r="O41" s="114">
        <f t="shared" si="0"/>
        <v>0</v>
      </c>
      <c r="P41" s="114">
        <f t="shared" si="5"/>
        <v>251.24</v>
      </c>
      <c r="Q41" s="114">
        <f t="shared" si="1"/>
        <v>0</v>
      </c>
      <c r="R41" s="114">
        <f t="shared" si="6"/>
        <v>130.22999999999999</v>
      </c>
      <c r="S41" s="114">
        <f t="shared" si="2"/>
        <v>0</v>
      </c>
      <c r="T41" s="114">
        <f t="shared" si="7"/>
        <v>130.22999999999999</v>
      </c>
    </row>
    <row r="42" spans="1:21" ht="16.5" customHeight="1">
      <c r="A42" s="53" t="s">
        <v>83</v>
      </c>
      <c r="B42" s="99" t="s">
        <v>112</v>
      </c>
      <c r="C42" s="79"/>
      <c r="D42" s="115">
        <f>D39</f>
        <v>227.36</v>
      </c>
      <c r="E42" s="79"/>
      <c r="F42" s="115">
        <f>F39</f>
        <v>251.24</v>
      </c>
      <c r="G42" s="79"/>
      <c r="H42" s="115">
        <f>H39</f>
        <v>130.22999999999999</v>
      </c>
      <c r="I42" s="79"/>
      <c r="J42" s="115">
        <f>J39</f>
        <v>249.97</v>
      </c>
      <c r="K42" s="55"/>
      <c r="L42" s="66"/>
      <c r="M42" s="115">
        <f t="shared" si="3"/>
        <v>0</v>
      </c>
      <c r="N42" s="115">
        <f t="shared" si="4"/>
        <v>227.36</v>
      </c>
      <c r="O42" s="115">
        <f t="shared" si="0"/>
        <v>0</v>
      </c>
      <c r="P42" s="115">
        <f t="shared" si="5"/>
        <v>251.24</v>
      </c>
      <c r="Q42" s="115">
        <f t="shared" si="1"/>
        <v>0</v>
      </c>
      <c r="R42" s="115">
        <f t="shared" si="6"/>
        <v>130.22999999999999</v>
      </c>
      <c r="S42" s="115">
        <f t="shared" si="2"/>
        <v>0</v>
      </c>
      <c r="T42" s="115">
        <f t="shared" si="7"/>
        <v>249.97</v>
      </c>
    </row>
    <row r="43" spans="1:21" ht="15" customHeight="1">
      <c r="A43" s="53" t="s">
        <v>84</v>
      </c>
      <c r="B43" s="99" t="s">
        <v>114</v>
      </c>
      <c r="C43" s="79"/>
      <c r="D43" s="115">
        <f>D40</f>
        <v>0</v>
      </c>
      <c r="E43" s="79"/>
      <c r="F43" s="115">
        <f>F40</f>
        <v>0</v>
      </c>
      <c r="G43" s="79"/>
      <c r="H43" s="115">
        <f>H40</f>
        <v>0</v>
      </c>
      <c r="I43" s="79"/>
      <c r="J43" s="115">
        <f>J40</f>
        <v>0</v>
      </c>
      <c r="K43" s="55"/>
      <c r="L43" s="66"/>
      <c r="M43" s="115">
        <f t="shared" si="3"/>
        <v>0</v>
      </c>
      <c r="N43" s="115">
        <f t="shared" si="4"/>
        <v>0</v>
      </c>
      <c r="O43" s="115">
        <f t="shared" si="0"/>
        <v>0</v>
      </c>
      <c r="P43" s="115">
        <f t="shared" si="5"/>
        <v>0</v>
      </c>
      <c r="Q43" s="115">
        <f t="shared" si="1"/>
        <v>0</v>
      </c>
      <c r="R43" s="115">
        <f t="shared" si="6"/>
        <v>0</v>
      </c>
      <c r="S43" s="115">
        <f t="shared" si="2"/>
        <v>0</v>
      </c>
      <c r="T43" s="115">
        <f t="shared" si="7"/>
        <v>0</v>
      </c>
    </row>
    <row r="44" spans="1:21" ht="13.5" hidden="1" customHeight="1">
      <c r="A44" s="94" t="s">
        <v>85</v>
      </c>
      <c r="B44" s="105" t="s">
        <v>13</v>
      </c>
      <c r="C44" s="94">
        <v>0.65</v>
      </c>
      <c r="D44" s="44"/>
      <c r="E44" s="44">
        <v>0</v>
      </c>
      <c r="F44" s="44"/>
      <c r="G44" s="44">
        <v>3.84</v>
      </c>
      <c r="H44" s="44"/>
      <c r="I44" s="44">
        <v>10.7</v>
      </c>
      <c r="J44" s="107"/>
      <c r="K44" s="11"/>
      <c r="L44" s="12"/>
      <c r="M44" s="127">
        <f t="shared" si="3"/>
        <v>0.65</v>
      </c>
      <c r="N44" s="127">
        <f t="shared" si="4"/>
        <v>0</v>
      </c>
      <c r="O44" s="127">
        <f t="shared" si="0"/>
        <v>0</v>
      </c>
      <c r="P44" s="127">
        <f t="shared" si="5"/>
        <v>0</v>
      </c>
      <c r="Q44" s="127">
        <f t="shared" si="1"/>
        <v>3.84</v>
      </c>
      <c r="R44" s="127">
        <f t="shared" si="6"/>
        <v>0</v>
      </c>
      <c r="S44" s="127">
        <f t="shared" si="2"/>
        <v>10.7</v>
      </c>
      <c r="T44" s="126">
        <f t="shared" si="7"/>
        <v>0</v>
      </c>
    </row>
    <row r="45" spans="1:21" ht="15.75" customHeight="1">
      <c r="A45" s="1216" t="s">
        <v>20</v>
      </c>
      <c r="B45" s="1216"/>
      <c r="C45" s="1216"/>
      <c r="D45" s="1216"/>
      <c r="E45" s="1216"/>
      <c r="F45" s="1216"/>
      <c r="G45" s="1216"/>
      <c r="H45" s="1216"/>
      <c r="I45" s="1216"/>
      <c r="J45" s="1216"/>
      <c r="K45" s="1217"/>
      <c r="L45" s="1217"/>
      <c r="M45" s="1217"/>
      <c r="N45" s="1217"/>
      <c r="O45" s="1217"/>
      <c r="P45" s="1217"/>
      <c r="Q45" s="1217"/>
      <c r="R45" s="1217"/>
      <c r="S45" s="1217"/>
      <c r="T45" s="1217"/>
    </row>
    <row r="46" spans="1:21" s="28" customFormat="1" ht="35.25" customHeight="1">
      <c r="A46" s="103">
        <v>13</v>
      </c>
      <c r="B46" s="98" t="s">
        <v>120</v>
      </c>
      <c r="C46" s="78"/>
      <c r="D46" s="114" t="e">
        <f>D47+D48</f>
        <v>#REF!</v>
      </c>
      <c r="E46" s="78"/>
      <c r="F46" s="114" t="e">
        <f>F47+F48</f>
        <v>#REF!</v>
      </c>
      <c r="G46" s="78"/>
      <c r="H46" s="114" t="e">
        <f>H47+H48</f>
        <v>#REF!</v>
      </c>
      <c r="I46" s="78"/>
      <c r="J46" s="114" t="e">
        <f>J47+J48</f>
        <v>#REF!</v>
      </c>
      <c r="K46" s="54"/>
      <c r="L46" s="65"/>
      <c r="M46" s="114">
        <f t="shared" si="3"/>
        <v>0</v>
      </c>
      <c r="N46" s="114" t="e">
        <f t="shared" si="4"/>
        <v>#REF!</v>
      </c>
      <c r="O46" s="114">
        <f t="shared" si="0"/>
        <v>0</v>
      </c>
      <c r="P46" s="114" t="e">
        <f t="shared" si="5"/>
        <v>#REF!</v>
      </c>
      <c r="Q46" s="114">
        <f t="shared" si="1"/>
        <v>0</v>
      </c>
      <c r="R46" s="114" t="e">
        <f t="shared" si="6"/>
        <v>#REF!</v>
      </c>
      <c r="S46" s="114">
        <f t="shared" si="2"/>
        <v>0</v>
      </c>
      <c r="T46" s="114" t="e">
        <f t="shared" si="7"/>
        <v>#REF!</v>
      </c>
      <c r="U46" s="100"/>
    </row>
    <row r="47" spans="1:21" ht="16.5">
      <c r="A47" s="53" t="s">
        <v>17</v>
      </c>
      <c r="B47" s="99" t="s">
        <v>112</v>
      </c>
      <c r="C47" s="79"/>
      <c r="D47" s="115" t="e">
        <f>D23</f>
        <v>#REF!</v>
      </c>
      <c r="E47" s="79"/>
      <c r="F47" s="115" t="e">
        <f>F23</f>
        <v>#REF!</v>
      </c>
      <c r="G47" s="79"/>
      <c r="H47" s="115" t="e">
        <f>H23</f>
        <v>#REF!</v>
      </c>
      <c r="I47" s="79"/>
      <c r="J47" s="115" t="e">
        <f>J23</f>
        <v>#REF!</v>
      </c>
      <c r="K47" s="55"/>
      <c r="L47" s="66"/>
      <c r="M47" s="115">
        <f t="shared" si="3"/>
        <v>0</v>
      </c>
      <c r="N47" s="115" t="e">
        <f t="shared" si="4"/>
        <v>#REF!</v>
      </c>
      <c r="O47" s="115">
        <f t="shared" si="0"/>
        <v>0</v>
      </c>
      <c r="P47" s="115" t="e">
        <f t="shared" si="5"/>
        <v>#REF!</v>
      </c>
      <c r="Q47" s="115">
        <f t="shared" si="1"/>
        <v>0</v>
      </c>
      <c r="R47" s="115" t="e">
        <f t="shared" si="6"/>
        <v>#REF!</v>
      </c>
      <c r="S47" s="115">
        <f t="shared" si="2"/>
        <v>0</v>
      </c>
      <c r="T47" s="115" t="e">
        <f t="shared" si="7"/>
        <v>#REF!</v>
      </c>
    </row>
    <row r="48" spans="1:21" ht="16.5">
      <c r="A48" s="53" t="s">
        <v>18</v>
      </c>
      <c r="B48" s="99" t="s">
        <v>111</v>
      </c>
      <c r="C48" s="79"/>
      <c r="D48" s="115" t="e">
        <f>D24</f>
        <v>#REF!</v>
      </c>
      <c r="E48" s="79"/>
      <c r="F48" s="115" t="e">
        <f>F24</f>
        <v>#REF!</v>
      </c>
      <c r="G48" s="79"/>
      <c r="H48" s="115" t="e">
        <f>H24</f>
        <v>#REF!</v>
      </c>
      <c r="I48" s="79"/>
      <c r="J48" s="115" t="e">
        <f>J24</f>
        <v>#REF!</v>
      </c>
      <c r="K48" s="55"/>
      <c r="L48" s="66"/>
      <c r="M48" s="115">
        <f t="shared" si="3"/>
        <v>0</v>
      </c>
      <c r="N48" s="115" t="e">
        <f t="shared" si="4"/>
        <v>#REF!</v>
      </c>
      <c r="O48" s="115">
        <f t="shared" si="0"/>
        <v>0</v>
      </c>
      <c r="P48" s="115" t="e">
        <f t="shared" si="5"/>
        <v>#REF!</v>
      </c>
      <c r="Q48" s="115">
        <f t="shared" si="1"/>
        <v>0</v>
      </c>
      <c r="R48" s="115" t="e">
        <f t="shared" si="6"/>
        <v>#REF!</v>
      </c>
      <c r="S48" s="115">
        <f t="shared" si="2"/>
        <v>0</v>
      </c>
      <c r="T48" s="115" t="e">
        <f t="shared" si="7"/>
        <v>#REF!</v>
      </c>
    </row>
    <row r="49" spans="1:20" ht="16.5" hidden="1" customHeight="1">
      <c r="A49" s="53" t="s">
        <v>19</v>
      </c>
      <c r="B49" s="99" t="s">
        <v>13</v>
      </c>
      <c r="C49" s="108">
        <v>1.92</v>
      </c>
      <c r="D49" s="108">
        <v>0</v>
      </c>
      <c r="E49" s="108">
        <v>0</v>
      </c>
      <c r="F49" s="108">
        <v>0</v>
      </c>
      <c r="G49" s="108">
        <v>2.94</v>
      </c>
      <c r="H49" s="108">
        <v>0</v>
      </c>
      <c r="I49" s="108">
        <v>9.68</v>
      </c>
      <c r="J49" s="108">
        <v>0</v>
      </c>
      <c r="K49" s="55"/>
      <c r="L49" s="66"/>
      <c r="M49" s="119">
        <f t="shared" si="3"/>
        <v>1.92</v>
      </c>
      <c r="N49" s="119">
        <f t="shared" si="4"/>
        <v>0</v>
      </c>
      <c r="O49" s="119">
        <f t="shared" si="0"/>
        <v>0</v>
      </c>
      <c r="P49" s="119">
        <f t="shared" si="5"/>
        <v>0</v>
      </c>
      <c r="Q49" s="119">
        <f t="shared" si="1"/>
        <v>2.94</v>
      </c>
      <c r="R49" s="119">
        <f t="shared" si="6"/>
        <v>0</v>
      </c>
      <c r="S49" s="119">
        <f t="shared" si="2"/>
        <v>9.68</v>
      </c>
      <c r="T49" s="119">
        <f t="shared" si="7"/>
        <v>0</v>
      </c>
    </row>
    <row r="50" spans="1:20" s="28" customFormat="1" ht="63" customHeight="1">
      <c r="A50" s="103">
        <v>14</v>
      </c>
      <c r="B50" s="98" t="s">
        <v>121</v>
      </c>
      <c r="C50" s="78"/>
      <c r="D50" s="114" t="e">
        <f>D51+D52</f>
        <v>#REF!</v>
      </c>
      <c r="E50" s="78"/>
      <c r="F50" s="114" t="e">
        <f>F51+F52</f>
        <v>#REF!</v>
      </c>
      <c r="G50" s="78"/>
      <c r="H50" s="114" t="e">
        <f>H51+H52</f>
        <v>#REF!</v>
      </c>
      <c r="I50" s="78"/>
      <c r="J50" s="114" t="e">
        <f>J51+J52</f>
        <v>#REF!</v>
      </c>
      <c r="K50" s="54"/>
      <c r="L50" s="65"/>
      <c r="M50" s="114">
        <f t="shared" si="3"/>
        <v>0</v>
      </c>
      <c r="N50" s="114" t="e">
        <f t="shared" si="4"/>
        <v>#REF!</v>
      </c>
      <c r="O50" s="114">
        <f t="shared" si="0"/>
        <v>0</v>
      </c>
      <c r="P50" s="114" t="e">
        <f t="shared" si="5"/>
        <v>#REF!</v>
      </c>
      <c r="Q50" s="114">
        <f t="shared" si="1"/>
        <v>0</v>
      </c>
      <c r="R50" s="114" t="e">
        <f t="shared" si="6"/>
        <v>#REF!</v>
      </c>
      <c r="S50" s="114">
        <f t="shared" si="2"/>
        <v>0</v>
      </c>
      <c r="T50" s="114" t="e">
        <f t="shared" si="7"/>
        <v>#REF!</v>
      </c>
    </row>
    <row r="51" spans="1:20" ht="16.5">
      <c r="A51" s="53" t="s">
        <v>21</v>
      </c>
      <c r="B51" s="99" t="s">
        <v>112</v>
      </c>
      <c r="C51" s="79"/>
      <c r="D51" s="115" t="e">
        <f>D27+D35+D42</f>
        <v>#REF!</v>
      </c>
      <c r="E51" s="79"/>
      <c r="F51" s="115" t="e">
        <f>F27+F35+F42</f>
        <v>#REF!</v>
      </c>
      <c r="G51" s="79"/>
      <c r="H51" s="115" t="e">
        <f>H27+H35+H42</f>
        <v>#REF!</v>
      </c>
      <c r="I51" s="79"/>
      <c r="J51" s="115" t="e">
        <f>J27+J35+J42</f>
        <v>#REF!</v>
      </c>
      <c r="K51" s="55"/>
      <c r="L51" s="66"/>
      <c r="M51" s="115">
        <f t="shared" si="3"/>
        <v>0</v>
      </c>
      <c r="N51" s="115" t="e">
        <f t="shared" si="4"/>
        <v>#REF!</v>
      </c>
      <c r="O51" s="115">
        <f t="shared" si="0"/>
        <v>0</v>
      </c>
      <c r="P51" s="115" t="e">
        <f t="shared" si="5"/>
        <v>#REF!</v>
      </c>
      <c r="Q51" s="115">
        <f t="shared" si="1"/>
        <v>0</v>
      </c>
      <c r="R51" s="115" t="e">
        <f t="shared" si="6"/>
        <v>#REF!</v>
      </c>
      <c r="S51" s="115">
        <f t="shared" si="2"/>
        <v>0</v>
      </c>
      <c r="T51" s="115" t="e">
        <f t="shared" si="7"/>
        <v>#REF!</v>
      </c>
    </row>
    <row r="52" spans="1:20" ht="16.5">
      <c r="A52" s="53" t="s">
        <v>22</v>
      </c>
      <c r="B52" s="99" t="s">
        <v>111</v>
      </c>
      <c r="C52" s="79"/>
      <c r="D52" s="115">
        <f>D28+D36+D43</f>
        <v>329.06</v>
      </c>
      <c r="E52" s="79"/>
      <c r="F52" s="115">
        <f>F28+F36+F43</f>
        <v>0</v>
      </c>
      <c r="G52" s="79"/>
      <c r="H52" s="115">
        <f>H28+H36+H43</f>
        <v>1426.72</v>
      </c>
      <c r="I52" s="79"/>
      <c r="J52" s="115">
        <f>J28+J36+J43</f>
        <v>1426.67</v>
      </c>
      <c r="K52" s="55"/>
      <c r="L52" s="66"/>
      <c r="M52" s="115">
        <f t="shared" si="3"/>
        <v>0</v>
      </c>
      <c r="N52" s="115">
        <f t="shared" si="4"/>
        <v>329.06</v>
      </c>
      <c r="O52" s="115">
        <f t="shared" si="0"/>
        <v>0</v>
      </c>
      <c r="P52" s="115">
        <f t="shared" si="5"/>
        <v>0</v>
      </c>
      <c r="Q52" s="115">
        <f t="shared" si="1"/>
        <v>0</v>
      </c>
      <c r="R52" s="115">
        <f t="shared" si="6"/>
        <v>1426.72</v>
      </c>
      <c r="S52" s="115">
        <f t="shared" si="2"/>
        <v>0</v>
      </c>
      <c r="T52" s="115">
        <f t="shared" si="7"/>
        <v>1426.67</v>
      </c>
    </row>
    <row r="53" spans="1:20" hidden="1">
      <c r="A53" s="34" t="s">
        <v>23</v>
      </c>
      <c r="B53" s="35" t="s">
        <v>13</v>
      </c>
      <c r="C53" s="101">
        <v>1.9259999999999999</v>
      </c>
      <c r="D53" s="102"/>
      <c r="E53" s="102">
        <v>0</v>
      </c>
      <c r="F53" s="102"/>
      <c r="G53" s="102">
        <v>9.8789999999999996</v>
      </c>
      <c r="H53" s="102"/>
      <c r="I53" s="102">
        <v>17.626000000000001</v>
      </c>
      <c r="J53" s="45"/>
      <c r="K53" s="21"/>
      <c r="L53" s="21"/>
      <c r="M53" s="21"/>
      <c r="N53" s="21"/>
      <c r="O53" s="19"/>
      <c r="P53" s="19"/>
      <c r="Q53" s="19"/>
    </row>
    <row r="54" spans="1:20">
      <c r="A54" s="18"/>
      <c r="B54" s="18"/>
      <c r="C54" s="18"/>
      <c r="D54" s="46"/>
      <c r="E54" s="46"/>
      <c r="F54" s="46"/>
      <c r="G54" s="46"/>
      <c r="H54" s="46"/>
      <c r="I54" s="46"/>
      <c r="J54" s="45"/>
      <c r="K54" s="21"/>
      <c r="L54" s="21"/>
      <c r="M54" s="21"/>
      <c r="N54" s="21"/>
      <c r="O54" s="19"/>
      <c r="P54" s="19"/>
      <c r="Q54" s="19"/>
    </row>
    <row r="55" spans="1:20">
      <c r="A55" s="18"/>
      <c r="B55" s="18"/>
      <c r="C55" s="18"/>
      <c r="D55" s="46"/>
      <c r="E55" s="46"/>
      <c r="F55" s="46"/>
      <c r="G55" s="46"/>
      <c r="H55" s="46"/>
      <c r="I55" s="46"/>
      <c r="J55" s="45"/>
      <c r="K55" s="21"/>
      <c r="L55" s="21"/>
      <c r="M55" s="21"/>
      <c r="N55" s="21"/>
      <c r="O55" s="19"/>
      <c r="P55" s="19"/>
      <c r="Q55" s="19"/>
    </row>
    <row r="56" spans="1:20" s="1" customFormat="1" ht="15" hidden="1">
      <c r="B56" s="31" t="s">
        <v>98</v>
      </c>
      <c r="C56" s="30"/>
      <c r="D56" s="36"/>
      <c r="E56" s="36"/>
      <c r="F56" s="36"/>
      <c r="G56" s="38"/>
      <c r="H56" s="37"/>
      <c r="I56" s="37" t="s">
        <v>99</v>
      </c>
      <c r="J56" s="38"/>
    </row>
    <row r="57" spans="1:20" ht="15">
      <c r="A57" s="113" t="s">
        <v>156</v>
      </c>
      <c r="B57" s="112"/>
      <c r="C57" s="112"/>
      <c r="D57" s="112"/>
      <c r="E57" s="112"/>
      <c r="F57" s="112"/>
      <c r="G57" s="112"/>
      <c r="H57" s="112"/>
      <c r="I57" s="109" t="s">
        <v>158</v>
      </c>
      <c r="J57" s="45"/>
      <c r="K57" s="19"/>
      <c r="L57" s="19"/>
      <c r="M57" s="19"/>
      <c r="N57" s="19"/>
      <c r="O57" s="19"/>
      <c r="P57" s="19"/>
      <c r="Q57" s="19"/>
    </row>
    <row r="58" spans="1:20">
      <c r="A58" s="18"/>
      <c r="B58" s="18"/>
      <c r="C58" s="18"/>
      <c r="D58" s="46"/>
      <c r="E58" s="46"/>
      <c r="F58" s="46"/>
      <c r="G58" s="46"/>
      <c r="H58" s="46"/>
      <c r="I58" s="46"/>
      <c r="J58" s="45"/>
      <c r="K58" s="20"/>
      <c r="L58" s="21"/>
      <c r="M58" s="21"/>
      <c r="N58" s="21"/>
      <c r="O58" s="19"/>
      <c r="P58" s="19"/>
      <c r="Q58" s="19"/>
    </row>
    <row r="59" spans="1:20">
      <c r="A59" s="18"/>
      <c r="B59" s="18"/>
      <c r="C59" s="18"/>
      <c r="D59" s="46"/>
      <c r="E59" s="46"/>
      <c r="F59" s="46"/>
      <c r="G59" s="46"/>
      <c r="H59" s="46"/>
      <c r="I59" s="46"/>
      <c r="J59" s="45"/>
      <c r="K59" s="21"/>
      <c r="L59" s="21"/>
      <c r="M59" s="21"/>
      <c r="N59" s="21"/>
      <c r="O59" s="19"/>
      <c r="P59" s="19"/>
      <c r="Q59" s="19"/>
    </row>
    <row r="60" spans="1:20">
      <c r="A60" s="18"/>
      <c r="B60" s="18"/>
      <c r="C60" s="18"/>
      <c r="D60" s="46"/>
      <c r="E60" s="46"/>
      <c r="F60" s="46"/>
      <c r="G60" s="46"/>
      <c r="H60" s="46"/>
      <c r="I60" s="46"/>
      <c r="J60" s="45"/>
      <c r="K60" s="21"/>
      <c r="L60" s="21"/>
      <c r="M60" s="21"/>
      <c r="N60" s="21"/>
      <c r="O60" s="19"/>
      <c r="P60" s="19"/>
      <c r="Q60" s="19"/>
    </row>
    <row r="61" spans="1:20">
      <c r="A61" s="18"/>
      <c r="B61" s="18"/>
      <c r="C61" s="18"/>
      <c r="D61" s="46"/>
      <c r="E61" s="46"/>
      <c r="F61" s="46"/>
      <c r="G61" s="46"/>
      <c r="H61" s="46"/>
      <c r="I61" s="46"/>
      <c r="J61" s="45"/>
      <c r="K61" s="21"/>
      <c r="L61" s="21"/>
      <c r="M61" s="21"/>
      <c r="N61" s="21"/>
      <c r="O61" s="19"/>
      <c r="P61" s="19"/>
      <c r="Q61" s="19"/>
    </row>
    <row r="62" spans="1:20">
      <c r="A62" s="18"/>
      <c r="B62" s="18"/>
      <c r="C62" s="18"/>
      <c r="D62" s="46"/>
      <c r="E62" s="46"/>
      <c r="F62" s="46"/>
      <c r="G62" s="46"/>
      <c r="H62" s="46"/>
      <c r="I62" s="46"/>
      <c r="J62" s="45"/>
      <c r="K62" s="19"/>
      <c r="L62" s="19"/>
      <c r="M62" s="19"/>
      <c r="N62" s="19"/>
      <c r="O62" s="19"/>
      <c r="P62" s="19"/>
      <c r="Q62" s="19"/>
    </row>
    <row r="63" spans="1:20">
      <c r="A63" s="18"/>
      <c r="B63" s="18"/>
      <c r="C63" s="18"/>
      <c r="D63" s="46"/>
      <c r="E63" s="46"/>
      <c r="F63" s="46"/>
      <c r="G63" s="46"/>
      <c r="H63" s="46"/>
      <c r="I63" s="46"/>
      <c r="J63" s="45"/>
    </row>
    <row r="64" spans="1:20">
      <c r="A64" s="18"/>
      <c r="B64" s="22"/>
      <c r="C64" s="22"/>
      <c r="D64" s="47"/>
      <c r="E64" s="47"/>
      <c r="F64" s="47"/>
      <c r="G64" s="47"/>
      <c r="H64" s="47"/>
      <c r="I64" s="47"/>
      <c r="J64" s="45"/>
    </row>
    <row r="65" spans="1:10">
      <c r="A65" s="18"/>
      <c r="B65" s="19"/>
      <c r="C65" s="19"/>
      <c r="D65" s="45"/>
      <c r="E65" s="45"/>
      <c r="F65" s="45"/>
      <c r="G65" s="45"/>
      <c r="H65" s="45"/>
      <c r="I65" s="45"/>
      <c r="J65" s="45"/>
    </row>
    <row r="66" spans="1:10">
      <c r="A66" s="18"/>
      <c r="B66" s="23"/>
      <c r="C66" s="23"/>
      <c r="D66" s="48"/>
      <c r="E66" s="48"/>
      <c r="F66" s="48"/>
      <c r="G66" s="48"/>
      <c r="H66" s="48"/>
      <c r="I66" s="49"/>
      <c r="J66" s="45"/>
    </row>
    <row r="67" spans="1:10">
      <c r="A67" s="18"/>
      <c r="B67" s="24"/>
      <c r="C67" s="25"/>
      <c r="D67" s="49"/>
      <c r="E67" s="49"/>
      <c r="F67" s="49"/>
      <c r="G67" s="49"/>
      <c r="H67" s="49"/>
      <c r="I67" s="49"/>
      <c r="J67" s="45"/>
    </row>
    <row r="68" spans="1:10">
      <c r="A68" s="18"/>
      <c r="B68" s="26"/>
      <c r="C68" s="27"/>
      <c r="D68" s="50"/>
      <c r="E68" s="50"/>
      <c r="F68" s="50"/>
      <c r="G68" s="50"/>
      <c r="H68" s="50"/>
      <c r="I68" s="50"/>
      <c r="J68" s="45"/>
    </row>
    <row r="69" spans="1:10">
      <c r="A69" s="18"/>
      <c r="B69" s="26"/>
      <c r="C69" s="27"/>
      <c r="D69" s="50"/>
      <c r="E69" s="50"/>
      <c r="F69" s="50"/>
      <c r="G69" s="50"/>
      <c r="H69" s="50"/>
      <c r="I69" s="50"/>
      <c r="J69" s="45"/>
    </row>
    <row r="70" spans="1:10">
      <c r="A70" s="18"/>
      <c r="B70" s="26"/>
      <c r="C70" s="27"/>
      <c r="D70" s="50"/>
      <c r="E70" s="50"/>
      <c r="F70" s="50"/>
      <c r="G70" s="50"/>
      <c r="H70" s="50"/>
      <c r="I70" s="50"/>
      <c r="J70" s="45"/>
    </row>
    <row r="71" spans="1:10">
      <c r="A71" s="18"/>
      <c r="B71" s="24"/>
      <c r="C71" s="25"/>
      <c r="D71" s="49"/>
      <c r="E71" s="49"/>
      <c r="F71" s="49"/>
      <c r="G71" s="49"/>
      <c r="H71" s="49"/>
      <c r="I71" s="49"/>
      <c r="J71" s="45"/>
    </row>
    <row r="72" spans="1:10">
      <c r="A72" s="18"/>
      <c r="B72" s="26"/>
      <c r="C72" s="27"/>
      <c r="D72" s="50"/>
      <c r="E72" s="50"/>
      <c r="F72" s="50"/>
      <c r="G72" s="50"/>
      <c r="H72" s="50"/>
      <c r="I72" s="50"/>
      <c r="J72" s="45"/>
    </row>
    <row r="73" spans="1:10">
      <c r="A73" s="18"/>
      <c r="B73" s="26"/>
      <c r="C73" s="27"/>
      <c r="D73" s="50"/>
      <c r="E73" s="50"/>
      <c r="F73" s="50"/>
      <c r="G73" s="50"/>
      <c r="H73" s="50"/>
      <c r="I73" s="50"/>
      <c r="J73" s="45"/>
    </row>
    <row r="74" spans="1:10">
      <c r="A74" s="18"/>
      <c r="B74" s="26"/>
      <c r="C74" s="27"/>
      <c r="D74" s="50"/>
      <c r="E74" s="50"/>
      <c r="F74" s="50"/>
      <c r="G74" s="50"/>
      <c r="H74" s="50"/>
      <c r="I74" s="50"/>
      <c r="J74" s="45"/>
    </row>
    <row r="75" spans="1:10">
      <c r="B75" s="19"/>
      <c r="C75" s="19"/>
      <c r="D75" s="45"/>
      <c r="E75" s="45"/>
      <c r="F75" s="45"/>
      <c r="G75" s="45"/>
      <c r="H75" s="45"/>
      <c r="I75" s="45"/>
      <c r="J75" s="45"/>
    </row>
    <row r="76" spans="1:10">
      <c r="B76" s="19"/>
      <c r="C76" s="19"/>
      <c r="D76" s="45"/>
      <c r="E76" s="45"/>
      <c r="F76" s="45"/>
      <c r="G76" s="45"/>
      <c r="H76" s="45"/>
      <c r="I76" s="45"/>
      <c r="J76" s="45"/>
    </row>
    <row r="77" spans="1:10">
      <c r="B77" s="19"/>
      <c r="C77" s="19"/>
      <c r="D77" s="45"/>
      <c r="E77" s="45"/>
      <c r="F77" s="45"/>
      <c r="G77" s="45"/>
      <c r="H77" s="45"/>
      <c r="I77" s="45"/>
    </row>
  </sheetData>
  <sheetProtection selectLockedCells="1" selectUnlockedCells="1"/>
  <customSheetViews>
    <customSheetView guid="{8839ED87-9C42-4CC2-A1AD-6EF9611832A1}" scale="70" showPageBreaks="1" fitToPage="1" printArea="1" hiddenRows="1" hiddenColumns="1" state="hidden" view="pageBreakPreview">
      <pane xSplit="2" ySplit="9" topLeftCell="C10" activePane="bottomRight" state="frozen"/>
      <selection pane="bottomRight" activeCell="J40" sqref="J40"/>
      <pageMargins left="0.43307086614173229" right="0.43307086614173229" top="0.55118110236220474" bottom="0.15748031496062992" header="0" footer="0"/>
      <printOptions horizontalCentered="1"/>
      <pageSetup paperSize="9" scale="60" firstPageNumber="0" orientation="portrait" horizontalDpi="300" verticalDpi="300" r:id="rId1"/>
      <headerFooter alignWithMargins="0"/>
    </customSheetView>
    <customSheetView guid="{B233FDC7-B79B-43AD-9288-8B6C8ACB6ACB}" scale="70" showPageBreaks="1" fitToPage="1" state="hidden" view="pageBreakPreview">
      <pane xSplit="2" ySplit="9" topLeftCell="C10" activePane="bottomRight" state="frozen"/>
      <selection pane="bottomRight" activeCell="J40" sqref="J40"/>
      <pageMargins left="0.43307086614173229" right="0.43307086614173229" top="0.55118110236220474" bottom="0.15748031496062992" header="0" footer="0"/>
      <printOptions horizontalCentered="1"/>
      <pageSetup paperSize="9" scale="35" firstPageNumber="0" orientation="portrait" horizontalDpi="300" verticalDpi="300" r:id="rId2"/>
      <headerFooter alignWithMargins="0"/>
    </customSheetView>
    <customSheetView guid="{BF9F446D-D2F9-4EAA-BD71-B531E336462E}" scale="70" showPageBreaks="1" fitToPage="1" printArea="1" hiddenRows="1" hiddenColumns="1" state="hidden" view="pageBreakPreview">
      <pane xSplit="2" ySplit="9" topLeftCell="C10" activePane="bottomRight" state="frozen"/>
      <selection pane="bottomRight" activeCell="J40" sqref="J40"/>
      <pageMargins left="0.43307086614173229" right="0.43307086614173229" top="0.55118110236220474" bottom="0.15748031496062992" header="0" footer="0"/>
      <printOptions horizontalCentered="1"/>
      <pageSetup paperSize="9" scale="60" firstPageNumber="0" orientation="portrait" horizontalDpi="300" verticalDpi="300" r:id="rId3"/>
      <headerFooter alignWithMargins="0"/>
    </customSheetView>
  </customSheetViews>
  <mergeCells count="22">
    <mergeCell ref="K38:T38"/>
    <mergeCell ref="K45:T45"/>
    <mergeCell ref="M7:N7"/>
    <mergeCell ref="O7:P7"/>
    <mergeCell ref="Q7:R7"/>
    <mergeCell ref="S7:T7"/>
    <mergeCell ref="K12:T12"/>
    <mergeCell ref="K30:T30"/>
    <mergeCell ref="K7:K8"/>
    <mergeCell ref="L7:L8"/>
    <mergeCell ref="A45:J45"/>
    <mergeCell ref="B7:B8"/>
    <mergeCell ref="C7:D7"/>
    <mergeCell ref="E7:F7"/>
    <mergeCell ref="G7:H7"/>
    <mergeCell ref="I7:J7"/>
    <mergeCell ref="A5:J5"/>
    <mergeCell ref="A7:A8"/>
    <mergeCell ref="C6:G6"/>
    <mergeCell ref="A30:J30"/>
    <mergeCell ref="A12:J12"/>
    <mergeCell ref="A38:J38"/>
  </mergeCells>
  <phoneticPr fontId="6" type="noConversion"/>
  <printOptions horizontalCentered="1"/>
  <pageMargins left="0.43307086614173229" right="0.43307086614173229" top="0.55118110236220474" bottom="0.15748031496062992" header="0" footer="0"/>
  <pageSetup paperSize="9" scale="59" firstPageNumber="0" orientation="portrait" horizontalDpi="300" verticalDpi="300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39"/>
  </sheetPr>
  <dimension ref="A2:DE81"/>
  <sheetViews>
    <sheetView tabSelected="1" view="pageBreakPreview" topLeftCell="B1" zoomScale="70" zoomScaleNormal="80" zoomScaleSheetLayoutView="70" workbookViewId="0">
      <selection activeCell="AC67" sqref="AC67"/>
    </sheetView>
  </sheetViews>
  <sheetFormatPr defaultColWidth="11.5703125" defaultRowHeight="12.75"/>
  <cols>
    <col min="1" max="1" width="11.42578125" style="1" hidden="1" customWidth="1"/>
    <col min="2" max="2" width="46.5703125" style="1" customWidth="1"/>
    <col min="3" max="3" width="19.85546875" style="1" hidden="1" customWidth="1"/>
    <col min="4" max="4" width="19" style="1" hidden="1" customWidth="1"/>
    <col min="5" max="5" width="14.42578125" style="1" hidden="1" customWidth="1"/>
    <col min="6" max="6" width="12.5703125" style="1" hidden="1" customWidth="1"/>
    <col min="7" max="7" width="15.140625" style="1" hidden="1" customWidth="1"/>
    <col min="8" max="9" width="14" style="1" hidden="1" customWidth="1"/>
    <col min="10" max="10" width="11.28515625" style="1" hidden="1" customWidth="1"/>
    <col min="11" max="11" width="16.140625" style="632" hidden="1" customWidth="1"/>
    <col min="12" max="14" width="13.140625" style="1" hidden="1" customWidth="1"/>
    <col min="15" max="15" width="12.5703125" style="1" customWidth="1"/>
    <col min="16" max="16" width="13.7109375" style="1" customWidth="1"/>
    <col min="17" max="17" width="14.7109375" style="632" customWidth="1"/>
    <col min="18" max="18" width="13.28515625" style="1" customWidth="1"/>
    <col min="19" max="20" width="11.7109375" style="1" hidden="1" customWidth="1"/>
    <col min="21" max="21" width="14.140625" style="1" customWidth="1"/>
    <col min="22" max="22" width="12.140625" style="1" customWidth="1"/>
    <col min="23" max="23" width="12.5703125" style="1" customWidth="1"/>
    <col min="24" max="24" width="13.42578125" style="1" customWidth="1"/>
    <col min="25" max="26" width="11.7109375" style="1" hidden="1" customWidth="1"/>
    <col min="27" max="27" width="14.7109375" style="1" customWidth="1"/>
    <col min="28" max="29" width="12.140625" style="1" customWidth="1"/>
    <col min="30" max="30" width="15.42578125" style="855" customWidth="1"/>
    <col min="31" max="31" width="16.85546875" style="1" customWidth="1"/>
    <col min="32" max="32" width="18.140625" style="1" customWidth="1"/>
    <col min="33" max="16384" width="11.5703125" style="1"/>
  </cols>
  <sheetData>
    <row r="2" spans="1:107" s="810" customFormat="1" ht="21.75" customHeight="1">
      <c r="A2" s="971"/>
      <c r="B2" s="973" t="s">
        <v>421</v>
      </c>
      <c r="C2" s="971"/>
      <c r="D2" s="971"/>
      <c r="E2" s="971"/>
      <c r="F2" s="971"/>
      <c r="G2" s="971"/>
      <c r="H2" s="971"/>
      <c r="I2" s="971"/>
      <c r="J2" s="971"/>
      <c r="K2" s="975"/>
      <c r="L2" s="971"/>
      <c r="M2" s="971"/>
      <c r="N2" s="971"/>
      <c r="O2" s="971"/>
      <c r="P2" s="887"/>
      <c r="Q2" s="887"/>
      <c r="R2" s="887"/>
      <c r="S2" s="887"/>
      <c r="T2" s="887"/>
      <c r="U2" s="887"/>
      <c r="V2" s="887"/>
      <c r="W2" s="887"/>
      <c r="X2" s="887"/>
      <c r="Y2" s="807"/>
      <c r="Z2" s="807"/>
      <c r="AC2" s="674"/>
      <c r="AD2" s="978"/>
    </row>
    <row r="3" spans="1:107" s="810" customFormat="1" ht="26.25" customHeight="1">
      <c r="A3" s="972"/>
      <c r="B3" s="974" t="s">
        <v>406</v>
      </c>
      <c r="C3" s="972"/>
      <c r="D3" s="972"/>
      <c r="E3" s="972"/>
      <c r="F3" s="972"/>
      <c r="G3" s="972"/>
      <c r="H3" s="972"/>
      <c r="I3" s="972"/>
      <c r="J3" s="972"/>
      <c r="K3" s="972"/>
      <c r="L3" s="972"/>
      <c r="M3" s="972"/>
      <c r="N3" s="972"/>
      <c r="O3" s="972"/>
      <c r="P3" s="888"/>
      <c r="Q3" s="888"/>
      <c r="R3" s="888"/>
      <c r="S3" s="888"/>
      <c r="T3" s="888"/>
      <c r="U3" s="888"/>
      <c r="V3" s="888"/>
      <c r="W3" s="888"/>
      <c r="X3" s="888"/>
      <c r="Y3" s="808"/>
      <c r="Z3" s="808"/>
      <c r="AC3" s="808"/>
      <c r="AD3" s="978"/>
    </row>
    <row r="4" spans="1:107" ht="21.75" customHeight="1" thickBot="1">
      <c r="A4" s="4"/>
      <c r="B4" s="1058"/>
      <c r="C4" s="1058"/>
      <c r="D4" s="1058"/>
      <c r="E4" s="1058"/>
      <c r="F4" s="1058"/>
      <c r="G4" s="1058"/>
      <c r="H4" s="1058"/>
      <c r="I4" s="1058"/>
      <c r="J4" s="1058"/>
      <c r="K4" s="1058"/>
      <c r="L4" s="1058"/>
      <c r="M4" s="1058"/>
      <c r="N4" s="1058"/>
      <c r="O4" s="1058"/>
      <c r="P4" s="1058"/>
      <c r="Q4" s="633"/>
      <c r="R4" s="633"/>
      <c r="S4" s="633"/>
      <c r="T4" s="633"/>
      <c r="X4" s="736" t="s">
        <v>24</v>
      </c>
      <c r="Y4" s="736"/>
      <c r="Z4" s="736"/>
      <c r="AC4" s="133"/>
    </row>
    <row r="5" spans="1:107" s="5" customFormat="1" ht="46.5" customHeight="1">
      <c r="A5" s="964"/>
      <c r="B5" s="965"/>
      <c r="C5" s="1066" t="s">
        <v>420</v>
      </c>
      <c r="D5" s="1067"/>
      <c r="E5" s="1067"/>
      <c r="F5" s="1068"/>
      <c r="G5" s="1062" t="s">
        <v>126</v>
      </c>
      <c r="H5" s="1063"/>
      <c r="I5" s="1063"/>
      <c r="J5" s="1063"/>
      <c r="K5" s="1063"/>
      <c r="L5" s="1064"/>
      <c r="M5" s="1062" t="s">
        <v>388</v>
      </c>
      <c r="N5" s="1063"/>
      <c r="O5" s="1063"/>
      <c r="P5" s="1063"/>
      <c r="Q5" s="1063"/>
      <c r="R5" s="1064"/>
      <c r="S5" s="1062" t="s">
        <v>157</v>
      </c>
      <c r="T5" s="1063"/>
      <c r="U5" s="1063"/>
      <c r="V5" s="1063"/>
      <c r="W5" s="1063"/>
      <c r="X5" s="1064"/>
      <c r="Y5" s="1062" t="s">
        <v>419</v>
      </c>
      <c r="Z5" s="1063"/>
      <c r="AA5" s="1063"/>
      <c r="AB5" s="1063"/>
      <c r="AC5" s="1064"/>
      <c r="AD5" s="979"/>
    </row>
    <row r="6" spans="1:107" ht="85.5" customHeight="1">
      <c r="A6" s="1059" t="s">
        <v>171</v>
      </c>
      <c r="B6" s="1059" t="s">
        <v>4</v>
      </c>
      <c r="C6" s="760" t="s">
        <v>413</v>
      </c>
      <c r="D6" s="751" t="s">
        <v>415</v>
      </c>
      <c r="E6" s="1061" t="s">
        <v>414</v>
      </c>
      <c r="F6" s="1057"/>
      <c r="G6" s="760" t="s">
        <v>413</v>
      </c>
      <c r="H6" s="751" t="s">
        <v>415</v>
      </c>
      <c r="I6" s="1054" t="s">
        <v>408</v>
      </c>
      <c r="J6" s="1054"/>
      <c r="K6" s="1061" t="s">
        <v>414</v>
      </c>
      <c r="L6" s="1057"/>
      <c r="M6" s="760" t="s">
        <v>413</v>
      </c>
      <c r="N6" s="751" t="s">
        <v>415</v>
      </c>
      <c r="O6" s="1054" t="s">
        <v>407</v>
      </c>
      <c r="P6" s="1055"/>
      <c r="Q6" s="1056" t="s">
        <v>414</v>
      </c>
      <c r="R6" s="1057"/>
      <c r="S6" s="753" t="s">
        <v>413</v>
      </c>
      <c r="T6" s="751" t="s">
        <v>415</v>
      </c>
      <c r="U6" s="1054" t="s">
        <v>409</v>
      </c>
      <c r="V6" s="1055"/>
      <c r="W6" s="1056" t="s">
        <v>414</v>
      </c>
      <c r="X6" s="1057"/>
      <c r="Y6" s="760" t="s">
        <v>413</v>
      </c>
      <c r="Z6" s="751" t="s">
        <v>415</v>
      </c>
      <c r="AA6" s="976" t="s">
        <v>389</v>
      </c>
      <c r="AB6" s="1056" t="str">
        <f>K6</f>
        <v xml:space="preserve"> плановий період 2017 рік            </v>
      </c>
      <c r="AC6" s="1057"/>
      <c r="AD6" s="979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</row>
    <row r="7" spans="1:107" ht="28.5" customHeight="1" thickBot="1">
      <c r="A7" s="1060"/>
      <c r="B7" s="1060"/>
      <c r="C7" s="780" t="s">
        <v>170</v>
      </c>
      <c r="D7" s="275" t="s">
        <v>170</v>
      </c>
      <c r="E7" s="275" t="s">
        <v>170</v>
      </c>
      <c r="F7" s="616" t="s">
        <v>77</v>
      </c>
      <c r="G7" s="780" t="s">
        <v>170</v>
      </c>
      <c r="H7" s="275" t="s">
        <v>170</v>
      </c>
      <c r="I7" s="275" t="s">
        <v>170</v>
      </c>
      <c r="J7" s="275" t="s">
        <v>392</v>
      </c>
      <c r="K7" s="275" t="s">
        <v>170</v>
      </c>
      <c r="L7" s="616" t="s">
        <v>392</v>
      </c>
      <c r="M7" s="662" t="s">
        <v>170</v>
      </c>
      <c r="N7" s="766" t="s">
        <v>170</v>
      </c>
      <c r="O7" s="766" t="s">
        <v>170</v>
      </c>
      <c r="P7" s="664" t="s">
        <v>392</v>
      </c>
      <c r="Q7" s="1028" t="s">
        <v>170</v>
      </c>
      <c r="R7" s="617" t="s">
        <v>392</v>
      </c>
      <c r="S7" s="772" t="s">
        <v>170</v>
      </c>
      <c r="T7" s="766" t="s">
        <v>170</v>
      </c>
      <c r="U7" s="766" t="s">
        <v>170</v>
      </c>
      <c r="V7" s="664" t="s">
        <v>392</v>
      </c>
      <c r="W7" s="1028" t="s">
        <v>170</v>
      </c>
      <c r="X7" s="617" t="s">
        <v>392</v>
      </c>
      <c r="Y7" s="662" t="s">
        <v>170</v>
      </c>
      <c r="Z7" s="766" t="s">
        <v>170</v>
      </c>
      <c r="AA7" s="664" t="s">
        <v>77</v>
      </c>
      <c r="AB7" s="1028" t="s">
        <v>170</v>
      </c>
      <c r="AC7" s="617" t="s">
        <v>77</v>
      </c>
      <c r="AD7" s="979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</row>
    <row r="8" spans="1:107" ht="18" customHeight="1" thickBot="1">
      <c r="A8" s="665">
        <v>1</v>
      </c>
      <c r="B8" s="665">
        <v>2</v>
      </c>
      <c r="C8" s="669">
        <v>3</v>
      </c>
      <c r="D8" s="782">
        <v>4</v>
      </c>
      <c r="E8" s="783">
        <v>5</v>
      </c>
      <c r="F8" s="667">
        <v>6</v>
      </c>
      <c r="G8" s="672">
        <v>7</v>
      </c>
      <c r="H8" s="783">
        <v>8</v>
      </c>
      <c r="I8" s="783">
        <v>9</v>
      </c>
      <c r="J8" s="783">
        <v>10</v>
      </c>
      <c r="K8" s="783">
        <v>11</v>
      </c>
      <c r="L8" s="667">
        <v>12</v>
      </c>
      <c r="M8" s="672">
        <v>13</v>
      </c>
      <c r="N8" s="783">
        <v>14</v>
      </c>
      <c r="O8" s="782">
        <v>15</v>
      </c>
      <c r="P8" s="670">
        <v>16</v>
      </c>
      <c r="Q8" s="1029">
        <v>17</v>
      </c>
      <c r="R8" s="668">
        <v>18</v>
      </c>
      <c r="S8" s="784">
        <v>19</v>
      </c>
      <c r="T8" s="782">
        <v>20</v>
      </c>
      <c r="U8" s="782">
        <v>21</v>
      </c>
      <c r="V8" s="670">
        <v>22</v>
      </c>
      <c r="W8" s="1029">
        <v>23</v>
      </c>
      <c r="X8" s="668">
        <v>24</v>
      </c>
      <c r="Y8" s="669">
        <v>25</v>
      </c>
      <c r="Z8" s="782">
        <v>26</v>
      </c>
      <c r="AA8" s="670">
        <v>27</v>
      </c>
      <c r="AB8" s="1029">
        <v>28</v>
      </c>
      <c r="AC8" s="668">
        <v>29</v>
      </c>
      <c r="AD8" s="979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</row>
    <row r="9" spans="1:107" s="285" customFormat="1" ht="21.95" customHeight="1">
      <c r="A9" s="731">
        <v>1</v>
      </c>
      <c r="B9" s="966" t="s">
        <v>29</v>
      </c>
      <c r="C9" s="996">
        <f>Додаток2!C8+Додаток3!C8+Додаток4!C8</f>
        <v>112930.92</v>
      </c>
      <c r="D9" s="825">
        <f ca="1">Додаток2!D8+Додаток3!D8+Додаток4!D8</f>
        <v>290240.37</v>
      </c>
      <c r="E9" s="825">
        <f>Додаток2!E8+Додаток3!E8+Додаток4!E8</f>
        <v>289288.51</v>
      </c>
      <c r="F9" s="859">
        <f>Додаток2!F8+Додаток3!F8+Додаток4!F8</f>
        <v>1221.28</v>
      </c>
      <c r="G9" s="861">
        <f ca="1">Додаток2!G8+Додаток3!G8+Додаток4!G8</f>
        <v>99920.42</v>
      </c>
      <c r="H9" s="862">
        <f ca="1">Додаток2!H8+Додаток3!H8+Додаток4!H8</f>
        <v>129712.99</v>
      </c>
      <c r="I9" s="824">
        <v>236274.42</v>
      </c>
      <c r="J9" s="824">
        <v>1150.82</v>
      </c>
      <c r="K9" s="825">
        <f>Додаток2!K8+Додаток3!K8+Додаток4!K8</f>
        <v>234148.15</v>
      </c>
      <c r="L9" s="826">
        <f>K9/$K$69*1000</f>
        <v>1151.19</v>
      </c>
      <c r="M9" s="861">
        <f ca="1">Додаток2!M8+Додаток3!M8+Додаток4!M8</f>
        <v>34850.67</v>
      </c>
      <c r="N9" s="862">
        <f ca="1">Додаток2!N8+Додаток3!N8+Додаток4!N8</f>
        <v>30909.7</v>
      </c>
      <c r="O9" s="781">
        <v>31489.79</v>
      </c>
      <c r="P9" s="875">
        <v>1155.8399999999999</v>
      </c>
      <c r="Q9" s="1030">
        <f>Додаток2!Q8+Додаток3!Q8+Додаток4!Q8</f>
        <v>43703.38</v>
      </c>
      <c r="R9" s="826">
        <f>Q9/$Q$69*1000</f>
        <v>1648.75</v>
      </c>
      <c r="S9" s="1023">
        <f ca="1">Додаток2!S8+Додаток3!S8+Додаток4!S8</f>
        <v>6103.67</v>
      </c>
      <c r="T9" s="862">
        <f ca="1">Додаток2!T8+Додаток3!T8+Додаток4!T8</f>
        <v>5234.3</v>
      </c>
      <c r="U9" s="781">
        <v>13430.12</v>
      </c>
      <c r="V9" s="911">
        <v>1502.45</v>
      </c>
      <c r="W9" s="1037">
        <f>Додаток2!W8+Додаток3!W8+Додаток4!W8</f>
        <v>11390.88</v>
      </c>
      <c r="X9" s="826">
        <f>W9/$W$69*1000</f>
        <v>1648.75</v>
      </c>
      <c r="Y9" s="861">
        <f ca="1">Додаток2!Y8+Додаток3!Y8+Додаток4!Y8</f>
        <v>37.75</v>
      </c>
      <c r="Z9" s="862">
        <f ca="1">Додаток2!Z8+Додаток3!Z8+Додаток4!Z8</f>
        <v>27.77</v>
      </c>
      <c r="AA9" s="875">
        <v>773.77</v>
      </c>
      <c r="AB9" s="1030">
        <f>Додаток2!AB8+Додаток3!AB8+Додаток4!AB8</f>
        <v>46.1</v>
      </c>
      <c r="AC9" s="859">
        <f>Додаток2!AC8+Додаток3!AC8+Додаток4!AC8</f>
        <v>757.86</v>
      </c>
      <c r="AD9" s="993">
        <f>K9+Q9+W9+AB9-E9</f>
        <v>0</v>
      </c>
      <c r="AE9" s="992"/>
    </row>
    <row r="10" spans="1:107" s="285" customFormat="1" ht="21.95" customHeight="1">
      <c r="A10" s="732"/>
      <c r="B10" s="891" t="s">
        <v>271</v>
      </c>
      <c r="C10" s="777">
        <f>Додаток2!C9+Додаток3!C9+Додаток4!C9</f>
        <v>112239.86</v>
      </c>
      <c r="D10" s="372">
        <f>Додаток2!D9+Додаток3!D9+Додаток4!D9</f>
        <v>176360.48</v>
      </c>
      <c r="E10" s="372">
        <f>Додаток2!E9+Додаток3!E9+Додаток4!E9</f>
        <v>288485.64</v>
      </c>
      <c r="F10" s="405">
        <f>E10/$E$69*1000</f>
        <v>1217.8900000000001</v>
      </c>
      <c r="G10" s="863">
        <f>Додаток2!G9+Додаток3!G9+Додаток4!G9</f>
        <v>73256.639999999999</v>
      </c>
      <c r="H10" s="816">
        <f>Додаток2!H9+Додаток3!H9+Додаток4!H9</f>
        <v>136345.26999999999</v>
      </c>
      <c r="I10" s="296">
        <f>I11+I22+I25</f>
        <v>236001.38</v>
      </c>
      <c r="J10" s="296">
        <f>J11+J22+J25</f>
        <v>1149.51</v>
      </c>
      <c r="K10" s="372">
        <f>Додаток2!K9+Додаток3!K9+Додаток4!K9</f>
        <v>233458.75</v>
      </c>
      <c r="L10" s="405">
        <f>K10/$K$69*1000</f>
        <v>1147.8</v>
      </c>
      <c r="M10" s="863">
        <f>Додаток2!M9+Додаток3!M9+Додаток4!M9</f>
        <v>30521.06</v>
      </c>
      <c r="N10" s="816">
        <f>Додаток2!N9+Додаток3!N9+Додаток4!N9</f>
        <v>31885.97</v>
      </c>
      <c r="O10" s="296">
        <f>O11+O22+O25</f>
        <v>31453.56</v>
      </c>
      <c r="P10" s="876">
        <f>P11+P22+P25</f>
        <v>1154.52</v>
      </c>
      <c r="Q10" s="1031">
        <f>Додаток2!Q9+Додаток3!Q9+Додаток4!Q9</f>
        <v>43613.52</v>
      </c>
      <c r="R10" s="405">
        <f>Q10/$Q$69*1000</f>
        <v>1645.36</v>
      </c>
      <c r="S10" s="1024">
        <f>Додаток2!S9+Додаток3!S9+Додаток4!S9</f>
        <v>5396.5</v>
      </c>
      <c r="T10" s="816">
        <f>Додаток2!T9+Додаток3!T9+Додаток4!T9</f>
        <v>5384.29</v>
      </c>
      <c r="U10" s="296">
        <f>U11+U22+U25</f>
        <v>13418.22</v>
      </c>
      <c r="V10" s="876">
        <f>V11+V22+V25</f>
        <v>1501.13</v>
      </c>
      <c r="W10" s="1038">
        <f>Додаток2!W9+Додаток3!W9+Додаток4!W9</f>
        <v>11367.48</v>
      </c>
      <c r="X10" s="405">
        <f>W10/$W$69*1000</f>
        <v>1645.36</v>
      </c>
      <c r="Y10" s="863">
        <f>Додаток2!Y9+Додаток3!Y9+Додаток4!Y9</f>
        <v>30.52</v>
      </c>
      <c r="Z10" s="816">
        <f>Додаток2!Z9+Додаток3!Z9+Додаток4!Z9</f>
        <v>29.52</v>
      </c>
      <c r="AA10" s="876">
        <f>AA11+AA22+AA25</f>
        <v>772.45</v>
      </c>
      <c r="AB10" s="1031">
        <f>Додаток2!AB9+Додаток3!AB9+Додаток4!AB9</f>
        <v>45.89</v>
      </c>
      <c r="AC10" s="763">
        <f>Додаток2!AC9+Додаток3!AC9+Додаток4!AC9</f>
        <v>754.49</v>
      </c>
      <c r="AD10" s="993">
        <f t="shared" ref="AD10:AD67" si="0">K10+Q10+W10+AB10-E10</f>
        <v>0</v>
      </c>
      <c r="AE10" s="992"/>
    </row>
    <row r="11" spans="1:107" s="285" customFormat="1" ht="21.95" customHeight="1">
      <c r="A11" s="732" t="s">
        <v>31</v>
      </c>
      <c r="B11" s="891" t="s">
        <v>32</v>
      </c>
      <c r="C11" s="777">
        <f>Додаток2!C10+Додаток3!C10+Додаток4!C10</f>
        <v>87410.13</v>
      </c>
      <c r="D11" s="372">
        <f>Додаток2!D10+Додаток3!D10+Додаток4!D10</f>
        <v>151621.6</v>
      </c>
      <c r="E11" s="372">
        <f>Додаток2!E10+Додаток3!E10+Додаток4!E10</f>
        <v>258935.27</v>
      </c>
      <c r="F11" s="405">
        <f>E11/$E$69*1000</f>
        <v>1093.1400000000001</v>
      </c>
      <c r="G11" s="863">
        <f>Додаток2!G10+Додаток3!G10+Додаток4!G10</f>
        <v>54015.81</v>
      </c>
      <c r="H11" s="816">
        <f>Додаток2!H10+Додаток3!H10+Додаток4!H10</f>
        <v>116364.33</v>
      </c>
      <c r="I11" s="296">
        <v>210572.03</v>
      </c>
      <c r="J11" s="296">
        <v>1025.6400000000001</v>
      </c>
      <c r="K11" s="372">
        <f>Додаток2!K10+Додаток3!K10+Додаток4!K10</f>
        <v>208084.66</v>
      </c>
      <c r="L11" s="405">
        <f>K11/$K$69*1000</f>
        <v>1023.05</v>
      </c>
      <c r="M11" s="863">
        <f>Додаток2!M10+Додаток3!M10+Додаток4!M10</f>
        <v>27396.78</v>
      </c>
      <c r="N11" s="816">
        <f>Додаток2!N10+Додаток3!N10+Додаток4!N10</f>
        <v>28944.82</v>
      </c>
      <c r="O11" s="296">
        <v>28079.13</v>
      </c>
      <c r="P11" s="876">
        <v>1030.6500000000001</v>
      </c>
      <c r="Q11" s="1031">
        <f>Додаток2!Q10+Додаток3!Q10+Додаток4!Q10</f>
        <v>40306.74</v>
      </c>
      <c r="R11" s="405">
        <f>Q11/$Q$69*1000</f>
        <v>1520.61</v>
      </c>
      <c r="S11" s="1024">
        <f>Додаток2!S10+Додаток3!S10+Додаток4!S10</f>
        <v>4886.2</v>
      </c>
      <c r="T11" s="816">
        <f>Додаток2!T10+Додаток3!T10+Додаток4!T10</f>
        <v>4932.3900000000003</v>
      </c>
      <c r="U11" s="296">
        <v>12311.07</v>
      </c>
      <c r="V11" s="876">
        <v>1377.26</v>
      </c>
      <c r="W11" s="1038">
        <f>Додаток2!W10+Додаток3!W10+Додаток4!W10</f>
        <v>10505.6</v>
      </c>
      <c r="X11" s="405">
        <f>W11/$W$69*1000</f>
        <v>1520.61</v>
      </c>
      <c r="Y11" s="863">
        <f>Додаток2!Y10+Додаток3!Y10+Додаток4!Y10</f>
        <v>25.28</v>
      </c>
      <c r="Z11" s="816">
        <f>Додаток2!Z10+Додаток3!Z10+Додаток4!Z10</f>
        <v>24.25</v>
      </c>
      <c r="AA11" s="876">
        <v>648.58000000000004</v>
      </c>
      <c r="AB11" s="1031">
        <f>Додаток2!AB10+Додаток3!AB10+Додаток4!AB10</f>
        <v>38.270000000000003</v>
      </c>
      <c r="AC11" s="763">
        <f>Додаток2!AC10+Додаток3!AC10+Додаток4!AC10</f>
        <v>629.73</v>
      </c>
      <c r="AD11" s="993">
        <f t="shared" si="0"/>
        <v>0</v>
      </c>
    </row>
    <row r="12" spans="1:107" s="678" customFormat="1" ht="24" customHeight="1">
      <c r="A12" s="683" t="s">
        <v>33</v>
      </c>
      <c r="B12" s="897" t="s">
        <v>205</v>
      </c>
      <c r="C12" s="407">
        <f>Додаток2!C11</f>
        <v>66607.66</v>
      </c>
      <c r="D12" s="373">
        <f>Додаток2!D11</f>
        <v>127542.31</v>
      </c>
      <c r="E12" s="373">
        <f>Додаток2!E11</f>
        <v>230942.8</v>
      </c>
      <c r="F12" s="409">
        <f>Додаток2!F11</f>
        <v>974.97</v>
      </c>
      <c r="G12" s="864">
        <f>Додаток2!G11</f>
        <v>37434.01</v>
      </c>
      <c r="H12" s="817">
        <f>Додаток2!H11</f>
        <v>96943.86</v>
      </c>
      <c r="I12" s="373">
        <v>188000.08</v>
      </c>
      <c r="J12" s="756">
        <v>915.69</v>
      </c>
      <c r="K12" s="373">
        <f>Додаток2!K11</f>
        <v>184048.29</v>
      </c>
      <c r="L12" s="408">
        <f>K12/$K$69*1000</f>
        <v>904.88</v>
      </c>
      <c r="M12" s="864">
        <f>Додаток2!M11</f>
        <v>24705.29</v>
      </c>
      <c r="N12" s="817">
        <f>Додаток2!N11</f>
        <v>26086.16</v>
      </c>
      <c r="O12" s="373">
        <v>24947.279999999999</v>
      </c>
      <c r="P12" s="645">
        <v>945.69</v>
      </c>
      <c r="Q12" s="1032">
        <f>Додаток2!Q11</f>
        <v>37174.28</v>
      </c>
      <c r="R12" s="408">
        <f>Q12/$Q$69*1000</f>
        <v>1402.43</v>
      </c>
      <c r="S12" s="1026">
        <f>Додаток2!S11</f>
        <v>4447.58</v>
      </c>
      <c r="T12" s="817">
        <f>Додаток2!T11</f>
        <v>4493.18</v>
      </c>
      <c r="U12" s="373">
        <v>11283.51</v>
      </c>
      <c r="V12" s="645">
        <v>1262.3</v>
      </c>
      <c r="W12" s="1039">
        <f>Додаток2!W11</f>
        <v>9689.15</v>
      </c>
      <c r="X12" s="408">
        <f>W12/$W$69*1000</f>
        <v>1402.43</v>
      </c>
      <c r="Y12" s="864">
        <f>Додаток2!Y11</f>
        <v>20.78</v>
      </c>
      <c r="Z12" s="817">
        <f>Додаток2!Z11</f>
        <v>19.11</v>
      </c>
      <c r="AA12" s="645">
        <v>533.62</v>
      </c>
      <c r="AB12" s="1032">
        <f>Додаток2!AB11</f>
        <v>31.08</v>
      </c>
      <c r="AC12" s="409">
        <f>Додаток2!AC11</f>
        <v>511.56</v>
      </c>
      <c r="AD12" s="993">
        <f t="shared" si="0"/>
        <v>0</v>
      </c>
      <c r="AE12" s="679"/>
      <c r="AF12" s="679"/>
      <c r="AG12" s="679"/>
      <c r="AH12" s="679"/>
      <c r="AI12" s="679"/>
      <c r="AJ12" s="679"/>
      <c r="AK12" s="679"/>
      <c r="AL12" s="679"/>
      <c r="AM12" s="679"/>
      <c r="AN12" s="679"/>
      <c r="AO12" s="679"/>
      <c r="AP12" s="679"/>
      <c r="AQ12" s="679"/>
      <c r="AR12" s="679"/>
      <c r="AS12" s="679"/>
      <c r="AT12" s="679"/>
      <c r="AU12" s="679"/>
      <c r="AV12" s="679"/>
      <c r="AW12" s="679"/>
      <c r="AX12" s="679"/>
      <c r="AY12" s="679"/>
      <c r="AZ12" s="679"/>
      <c r="BA12" s="679"/>
      <c r="BB12" s="679"/>
      <c r="BC12" s="679"/>
      <c r="BD12" s="679"/>
      <c r="BE12" s="679"/>
      <c r="BF12" s="679"/>
      <c r="BG12" s="679"/>
      <c r="BH12" s="679"/>
      <c r="BI12" s="679"/>
      <c r="BJ12" s="679"/>
      <c r="BK12" s="679"/>
      <c r="BL12" s="679"/>
      <c r="BM12" s="679"/>
      <c r="BN12" s="679"/>
      <c r="BO12" s="679"/>
      <c r="BP12" s="679"/>
      <c r="BQ12" s="679"/>
      <c r="BR12" s="679"/>
      <c r="BS12" s="679"/>
      <c r="BT12" s="679"/>
      <c r="BU12" s="679"/>
      <c r="BV12" s="679"/>
      <c r="BW12" s="679"/>
      <c r="BX12" s="679"/>
      <c r="BY12" s="679"/>
      <c r="BZ12" s="679"/>
      <c r="CA12" s="679"/>
      <c r="CB12" s="679"/>
      <c r="CC12" s="679"/>
      <c r="CD12" s="679"/>
      <c r="CE12" s="679"/>
      <c r="CF12" s="679"/>
      <c r="CG12" s="679"/>
      <c r="CH12" s="679"/>
      <c r="CI12" s="679"/>
      <c r="CJ12" s="679"/>
      <c r="CK12" s="679"/>
      <c r="CL12" s="679"/>
      <c r="CM12" s="679"/>
      <c r="CN12" s="679"/>
      <c r="CO12" s="679"/>
      <c r="CP12" s="679"/>
      <c r="CQ12" s="679"/>
      <c r="CR12" s="679"/>
      <c r="CS12" s="679"/>
      <c r="CT12" s="679"/>
      <c r="CU12" s="679"/>
      <c r="CV12" s="679"/>
      <c r="CW12" s="679"/>
      <c r="CX12" s="679"/>
      <c r="CY12" s="679"/>
    </row>
    <row r="13" spans="1:107" s="288" customFormat="1" ht="21.95" customHeight="1">
      <c r="A13" s="683" t="s">
        <v>34</v>
      </c>
      <c r="B13" s="897" t="s">
        <v>212</v>
      </c>
      <c r="C13" s="407">
        <f>Додаток2!C12+Додаток3!C11+Додаток4!C11</f>
        <v>16561.3</v>
      </c>
      <c r="D13" s="373">
        <f>Додаток2!D12+Додаток3!D11+Додаток4!D11</f>
        <v>19576.88</v>
      </c>
      <c r="E13" s="373">
        <f>Додаток2!E12+Додаток3!E11+Додаток4!E11</f>
        <v>24384.07</v>
      </c>
      <c r="F13" s="409">
        <f>Додаток2!F12+Додаток3!F11+Додаток4!F11</f>
        <v>102.94</v>
      </c>
      <c r="G13" s="407">
        <f>Додаток2!G12+Додаток3!G11+Додаток4!G11</f>
        <v>14056.42</v>
      </c>
      <c r="H13" s="373">
        <f>Додаток2!H12+Додаток3!H11+Додаток4!H11</f>
        <v>16840.68</v>
      </c>
      <c r="I13" s="373">
        <v>19707.599999999999</v>
      </c>
      <c r="J13" s="373">
        <v>95.99</v>
      </c>
      <c r="K13" s="373">
        <f>Додаток2!K12+Додаток3!K11+Додаток4!K11</f>
        <v>20937.93</v>
      </c>
      <c r="L13" s="409">
        <f>Додаток2!L12+Додаток3!L11+Додаток4!L11</f>
        <v>102.94</v>
      </c>
      <c r="M13" s="407">
        <f>Додаток2!M12+Додаток3!M11+Додаток4!M11</f>
        <v>2281.4699999999998</v>
      </c>
      <c r="N13" s="373">
        <f>Додаток2!N12+Додаток3!N11+Додаток4!N11</f>
        <v>2478.91</v>
      </c>
      <c r="O13" s="373">
        <v>2751.76</v>
      </c>
      <c r="P13" s="645">
        <v>101</v>
      </c>
      <c r="Q13" s="1032">
        <f>Додаток2!Q12+Додаток3!Q11+Додаток4!Q11</f>
        <v>2728.67</v>
      </c>
      <c r="R13" s="409">
        <f>Додаток2!R12+Додаток3!R11+Додаток4!R11</f>
        <v>102.94</v>
      </c>
      <c r="S13" s="639">
        <f>Додаток2!S12+Додаток3!S11+Додаток4!S11</f>
        <v>371.67</v>
      </c>
      <c r="T13" s="373">
        <f>Додаток2!T12+Додаток3!T11+Додаток4!T11</f>
        <v>380.88</v>
      </c>
      <c r="U13" s="373">
        <v>902.85</v>
      </c>
      <c r="V13" s="645">
        <v>101</v>
      </c>
      <c r="W13" s="1032">
        <f>Додаток2!W12+Додаток3!W11+Додаток4!W11</f>
        <v>711.2</v>
      </c>
      <c r="X13" s="409">
        <f>Додаток2!X12+Додаток3!X11+Додаток4!X11</f>
        <v>102.94</v>
      </c>
      <c r="Y13" s="407">
        <f>Додаток2!Y12+Додаток3!Y11+Додаток4!Y11</f>
        <v>3.81</v>
      </c>
      <c r="Z13" s="373">
        <f>Додаток2!Z12+Додаток3!Z11+Додаток4!Z11</f>
        <v>4.45</v>
      </c>
      <c r="AA13" s="645">
        <v>101</v>
      </c>
      <c r="AB13" s="1032">
        <f>Додаток2!AB12+Додаток3!AB11+Додаток4!AB11</f>
        <v>6.27</v>
      </c>
      <c r="AC13" s="409">
        <f>Додаток2!AC12+Додаток3!AC11+Додаток4!AC11</f>
        <v>102.94</v>
      </c>
      <c r="AD13" s="993">
        <f t="shared" si="0"/>
        <v>0</v>
      </c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287"/>
      <c r="CC13" s="287"/>
      <c r="CD13" s="287"/>
      <c r="CE13" s="287"/>
      <c r="CF13" s="287"/>
      <c r="CG13" s="287"/>
      <c r="CH13" s="287"/>
      <c r="CI13" s="287"/>
      <c r="CJ13" s="287"/>
      <c r="CK13" s="287"/>
      <c r="CL13" s="287"/>
      <c r="CM13" s="287"/>
      <c r="CN13" s="287"/>
      <c r="CO13" s="287"/>
      <c r="CP13" s="287"/>
      <c r="CQ13" s="287"/>
      <c r="CR13" s="287"/>
      <c r="CS13" s="287"/>
      <c r="CT13" s="287"/>
      <c r="CU13" s="287"/>
      <c r="CV13" s="287"/>
      <c r="CW13" s="287"/>
      <c r="CX13" s="287"/>
      <c r="CY13" s="287"/>
    </row>
    <row r="14" spans="1:107" s="678" customFormat="1" ht="33.75" customHeight="1">
      <c r="A14" s="683" t="s">
        <v>35</v>
      </c>
      <c r="B14" s="897" t="s">
        <v>37</v>
      </c>
      <c r="C14" s="407">
        <f>Додаток2!C15+Додаток3!C13+Додаток4!C12</f>
        <v>634.72</v>
      </c>
      <c r="D14" s="373">
        <f>Додаток2!D15+Додаток3!D13+Додаток4!D12</f>
        <v>655.87</v>
      </c>
      <c r="E14" s="373">
        <f>Додаток2!E15+Додаток3!E13+Додаток4!E12</f>
        <v>1144.48</v>
      </c>
      <c r="F14" s="409">
        <f>Додаток2!F15+Додаток3!F13+Додаток4!F12</f>
        <v>4.83</v>
      </c>
      <c r="G14" s="407">
        <f>Додаток2!G15+Додаток3!G13+Додаток4!G12</f>
        <v>544.65</v>
      </c>
      <c r="H14" s="373">
        <f>Додаток2!H15+Додаток3!H13+Додаток4!H12</f>
        <v>574.24</v>
      </c>
      <c r="I14" s="373">
        <v>882.88</v>
      </c>
      <c r="J14" s="373">
        <v>4.3</v>
      </c>
      <c r="K14" s="373">
        <f>Додаток2!K15+Додаток3!K13+Додаток4!K12</f>
        <v>982.73</v>
      </c>
      <c r="L14" s="409">
        <f>Додаток2!L15+Додаток3!L13+Додаток4!L12</f>
        <v>4.83</v>
      </c>
      <c r="M14" s="407">
        <f>Додаток2!M15+Додаток3!M13+Додаток4!M12</f>
        <v>88.4</v>
      </c>
      <c r="N14" s="373">
        <f>Додаток2!N15+Додаток3!N13+Додаток4!N12</f>
        <v>84.53</v>
      </c>
      <c r="O14" s="373">
        <v>117.16</v>
      </c>
      <c r="P14" s="645">
        <v>4.3</v>
      </c>
      <c r="Q14" s="1032">
        <f>Додаток2!Q15+Додаток3!Q13+Додаток4!Q12</f>
        <v>128.08000000000001</v>
      </c>
      <c r="R14" s="409">
        <f>Додаток2!R15+Додаток3!R13+Додаток4!R12</f>
        <v>4.83</v>
      </c>
      <c r="S14" s="639">
        <f>Додаток2!S15+Додаток3!S13+Додаток4!S12</f>
        <v>14.4</v>
      </c>
      <c r="T14" s="373">
        <f>Додаток2!T15+Додаток3!T13+Додаток4!T12</f>
        <v>12.98</v>
      </c>
      <c r="U14" s="373">
        <v>38.44</v>
      </c>
      <c r="V14" s="645">
        <v>4.3</v>
      </c>
      <c r="W14" s="1032">
        <f>Додаток2!W15+Додаток3!W13+Додаток4!W12</f>
        <v>33.380000000000003</v>
      </c>
      <c r="X14" s="409">
        <f>Додаток2!X15+Додаток3!X13+Додаток4!X12</f>
        <v>4.83</v>
      </c>
      <c r="Y14" s="407">
        <f>Додаток2!Y15+Додаток3!Y13+Додаток4!Y12</f>
        <v>0.15</v>
      </c>
      <c r="Z14" s="373">
        <f>Додаток2!Z15+Додаток3!Z13+Додаток4!Z12</f>
        <v>0.16</v>
      </c>
      <c r="AA14" s="645">
        <v>4.3</v>
      </c>
      <c r="AB14" s="1032">
        <f>Додаток2!AB15+Додаток3!AB13+Додаток4!AB12</f>
        <v>0.28999999999999998</v>
      </c>
      <c r="AC14" s="409">
        <f>Додаток2!AC15+Додаток3!AC13+Додаток4!AC12</f>
        <v>4.83</v>
      </c>
      <c r="AD14" s="993">
        <f t="shared" si="0"/>
        <v>0</v>
      </c>
      <c r="AE14" s="684"/>
      <c r="AF14" s="686"/>
      <c r="AG14" s="686"/>
      <c r="AH14" s="686"/>
      <c r="AK14" s="679"/>
      <c r="AL14" s="679"/>
      <c r="AM14" s="679"/>
      <c r="AN14" s="679"/>
      <c r="AO14" s="679"/>
      <c r="AP14" s="679"/>
      <c r="AQ14" s="679"/>
      <c r="AR14" s="679"/>
      <c r="AS14" s="679"/>
      <c r="AT14" s="679"/>
      <c r="AU14" s="679"/>
      <c r="AV14" s="679"/>
      <c r="AW14" s="679"/>
      <c r="AX14" s="679"/>
      <c r="AY14" s="679"/>
      <c r="AZ14" s="679"/>
      <c r="BA14" s="679"/>
      <c r="BB14" s="679"/>
      <c r="BC14" s="679"/>
      <c r="BD14" s="679"/>
      <c r="BE14" s="679"/>
      <c r="BF14" s="679"/>
      <c r="BG14" s="679"/>
      <c r="BH14" s="679"/>
      <c r="BI14" s="679"/>
      <c r="BJ14" s="679"/>
      <c r="BK14" s="679"/>
      <c r="BL14" s="679"/>
      <c r="BM14" s="679"/>
      <c r="BN14" s="679"/>
      <c r="BO14" s="679"/>
      <c r="BP14" s="679"/>
      <c r="BQ14" s="679"/>
      <c r="BR14" s="679"/>
      <c r="BS14" s="679"/>
      <c r="BT14" s="679"/>
      <c r="BU14" s="679"/>
      <c r="BV14" s="679"/>
      <c r="BW14" s="679"/>
      <c r="BX14" s="679"/>
      <c r="BY14" s="679"/>
      <c r="BZ14" s="679"/>
      <c r="CA14" s="679"/>
      <c r="CB14" s="679"/>
      <c r="CC14" s="679"/>
      <c r="CD14" s="679"/>
      <c r="CE14" s="679"/>
      <c r="CF14" s="679"/>
      <c r="CG14" s="679"/>
      <c r="CH14" s="679"/>
      <c r="CI14" s="679"/>
      <c r="CJ14" s="679"/>
      <c r="CK14" s="679"/>
      <c r="CL14" s="679"/>
      <c r="CM14" s="679"/>
      <c r="CN14" s="679"/>
      <c r="CO14" s="679"/>
      <c r="CP14" s="679"/>
      <c r="CQ14" s="679"/>
      <c r="CR14" s="679"/>
      <c r="CS14" s="679"/>
      <c r="CT14" s="679"/>
      <c r="CU14" s="679"/>
      <c r="CV14" s="679"/>
      <c r="CW14" s="679"/>
      <c r="CX14" s="679"/>
      <c r="CY14" s="679"/>
      <c r="CZ14" s="679"/>
      <c r="DA14" s="679"/>
      <c r="DB14" s="679"/>
      <c r="DC14" s="679"/>
    </row>
    <row r="15" spans="1:107" s="288" customFormat="1" ht="31.5" customHeight="1">
      <c r="A15" s="683" t="s">
        <v>36</v>
      </c>
      <c r="B15" s="967" t="s">
        <v>39</v>
      </c>
      <c r="C15" s="407">
        <f>Додаток2!C16+Додаток3!C14+Додаток4!C13</f>
        <v>3606.45</v>
      </c>
      <c r="D15" s="373">
        <f>Додаток2!D16+Додаток3!D14+Додаток4!D13</f>
        <v>3846.54</v>
      </c>
      <c r="E15" s="373">
        <f>Додаток2!E16+Додаток3!E14+Додаток4!E13</f>
        <v>2463.92</v>
      </c>
      <c r="F15" s="409">
        <f>Додаток2!F16+Додаток3!F14+Додаток4!F13</f>
        <v>10.4</v>
      </c>
      <c r="G15" s="407">
        <f>Додаток2!G16+Додаток3!G14+Додаток4!G13</f>
        <v>1980.73</v>
      </c>
      <c r="H15" s="373">
        <f>Додаток2!H16+Додаток3!H14+Додаток4!H13</f>
        <v>2005.55</v>
      </c>
      <c r="I15" s="373">
        <v>1981.48</v>
      </c>
      <c r="J15" s="373">
        <v>9.65</v>
      </c>
      <c r="K15" s="373">
        <f>Додаток2!K16+Додаток3!K14+Додаток4!K13</f>
        <v>2115.71</v>
      </c>
      <c r="L15" s="409">
        <f>Додаток2!L16+Додаток3!L14+Додаток4!L13</f>
        <v>10.4</v>
      </c>
      <c r="M15" s="407">
        <f>Додаток2!M16+Додаток3!M14+Додаток4!M13</f>
        <v>321.62</v>
      </c>
      <c r="N15" s="373">
        <f>Додаток2!N16+Додаток3!N14+Додаток4!N13</f>
        <v>295.22000000000003</v>
      </c>
      <c r="O15" s="373">
        <v>262.94</v>
      </c>
      <c r="P15" s="645">
        <v>9.65</v>
      </c>
      <c r="Q15" s="1032">
        <f>Додаток2!Q16+Додаток3!Q14+Додаток4!Q13</f>
        <v>275.70999999999998</v>
      </c>
      <c r="R15" s="409">
        <f>Додаток2!R16+Додаток3!R14+Додаток4!R13</f>
        <v>10.4</v>
      </c>
      <c r="S15" s="639">
        <f>Додаток2!S16+Додаток3!S14+Додаток4!S13</f>
        <v>52.55</v>
      </c>
      <c r="T15" s="373">
        <f>Додаток2!T16+Додаток3!T14+Додаток4!T13</f>
        <v>45.35</v>
      </c>
      <c r="U15" s="373">
        <v>86.27</v>
      </c>
      <c r="V15" s="645">
        <v>9.65</v>
      </c>
      <c r="W15" s="1032">
        <f>Додаток2!W16+Додаток3!W14+Додаток4!W13</f>
        <v>71.87</v>
      </c>
      <c r="X15" s="409">
        <f>Додаток2!X16+Додаток3!X14+Додаток4!X13</f>
        <v>10.4</v>
      </c>
      <c r="Y15" s="407">
        <f>Додаток2!Y16+Додаток3!Y14+Додаток4!Y13</f>
        <v>0.54</v>
      </c>
      <c r="Z15" s="373">
        <f>Додаток2!Z16+Додаток3!Z14+Додаток4!Z13</f>
        <v>0.53</v>
      </c>
      <c r="AA15" s="645">
        <v>9.65</v>
      </c>
      <c r="AB15" s="1032">
        <f>Додаток2!AB16+Додаток3!AB14+Додаток4!AB13</f>
        <v>0.63</v>
      </c>
      <c r="AC15" s="409">
        <f>Додаток2!AC16+Додаток3!AC14+Додаток4!AC13</f>
        <v>10.4</v>
      </c>
      <c r="AD15" s="993">
        <f t="shared" si="0"/>
        <v>0</v>
      </c>
      <c r="AE15" s="647"/>
      <c r="AF15" s="414"/>
      <c r="AG15" s="414"/>
      <c r="AH15" s="414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  <c r="BQ15" s="287"/>
      <c r="BR15" s="287"/>
      <c r="BS15" s="287"/>
      <c r="BT15" s="287"/>
      <c r="BU15" s="287"/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7"/>
      <c r="CL15" s="287"/>
      <c r="CM15" s="287"/>
      <c r="CN15" s="287"/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</row>
    <row r="16" spans="1:107" s="288" customFormat="1" ht="21.75" customHeight="1">
      <c r="A16" s="683"/>
      <c r="B16" s="894" t="s">
        <v>441</v>
      </c>
      <c r="C16" s="407">
        <f>Додаток2!C17+Додаток3!C15+Додаток4!C14</f>
        <v>1844.82</v>
      </c>
      <c r="D16" s="373">
        <f>Додаток2!D17+Додаток3!D15+Додаток4!D14</f>
        <v>1707.72</v>
      </c>
      <c r="E16" s="373">
        <f>Додаток2!E17+Додаток3!E15+Додаток4!E14</f>
        <v>563.67999999999995</v>
      </c>
      <c r="F16" s="409">
        <f>Додаток2!F17+Додаток3!F15+Додаток4!F14</f>
        <v>2.38</v>
      </c>
      <c r="G16" s="407">
        <f>Додаток2!G17+Додаток3!G15+Додаток4!G14</f>
        <v>969.65</v>
      </c>
      <c r="H16" s="373">
        <f>Додаток2!H17+Додаток3!H15+Додаток4!H14</f>
        <v>805.27</v>
      </c>
      <c r="I16" s="373">
        <f>Додаток2!I17+Додаток3!I15+Додаток4!I14</f>
        <v>0</v>
      </c>
      <c r="J16" s="373">
        <f>Додаток2!J17+Додаток3!J15+Додаток4!J14</f>
        <v>0</v>
      </c>
      <c r="K16" s="373">
        <f>Додаток2!K17+Додаток3!K15+Додаток4!K14</f>
        <v>484.02</v>
      </c>
      <c r="L16" s="409">
        <f>Додаток2!L17+Додаток3!L15+Додаток4!L14</f>
        <v>2.38</v>
      </c>
      <c r="M16" s="407">
        <f>Додаток2!M17+Додаток3!M15+Додаток4!M14</f>
        <v>157.44</v>
      </c>
      <c r="N16" s="373">
        <f>Додаток2!N17+Додаток3!N15+Додаток4!N14</f>
        <v>118.53</v>
      </c>
      <c r="O16" s="373">
        <f>Додаток2!O17+Додаток3!O15+Додаток4!O14</f>
        <v>0</v>
      </c>
      <c r="P16" s="645">
        <f>Додаток2!P17+Додаток3!P15+Додаток4!P14</f>
        <v>0</v>
      </c>
      <c r="Q16" s="1032">
        <f>Додаток2!Q17+Додаток3!Q15+Додаток4!Q14</f>
        <v>63.08</v>
      </c>
      <c r="R16" s="409">
        <f>Додаток2!R17+Додаток3!R15+Додаток4!R14</f>
        <v>2.38</v>
      </c>
      <c r="S16" s="639">
        <f>Додаток2!S17+Додаток3!S15+Додаток4!S14</f>
        <v>25.72</v>
      </c>
      <c r="T16" s="373">
        <f>Додаток2!T17+Додаток3!T15+Додаток4!T14</f>
        <v>18.21</v>
      </c>
      <c r="U16" s="373">
        <f>[3]Додаток2!U17+[3]Додаток3!U15+[3]Додаток4!U14</f>
        <v>0</v>
      </c>
      <c r="V16" s="645">
        <f>[3]Додаток2!V17+[3]Додаток3!V15+[3]Додаток4!V14</f>
        <v>0</v>
      </c>
      <c r="W16" s="1032">
        <f>Додаток2!W17+Додаток3!W15+Додаток4!W14</f>
        <v>16.440000000000001</v>
      </c>
      <c r="X16" s="409">
        <f>Додаток2!X17+Додаток3!X15+Додаток4!X14</f>
        <v>2.38</v>
      </c>
      <c r="Y16" s="407">
        <f>Додаток2!Y17+Додаток3!Y15+Додаток4!Y14</f>
        <v>0.26</v>
      </c>
      <c r="Z16" s="373">
        <f>Додаток2!Z17+Додаток3!Z15+Додаток4!Z14</f>
        <v>0.22</v>
      </c>
      <c r="AA16" s="645">
        <f>[3]Додаток2!AA17+[3]Додаток3!AA15+[3]Додаток4!AA14</f>
        <v>0</v>
      </c>
      <c r="AB16" s="1032">
        <f>Додаток2!AB17+Додаток3!AB15+Додаток4!AB14</f>
        <v>0.14000000000000001</v>
      </c>
      <c r="AC16" s="409">
        <f>Додаток2!AC17+Додаток3!AC15+Додаток4!AC14</f>
        <v>2.38</v>
      </c>
      <c r="AD16" s="993">
        <f t="shared" si="0"/>
        <v>0</v>
      </c>
      <c r="AE16" s="647"/>
      <c r="AF16" s="414"/>
      <c r="AG16" s="414"/>
      <c r="AH16" s="414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/>
      <c r="DB16" s="287"/>
      <c r="DC16" s="287"/>
    </row>
    <row r="17" spans="1:109" s="288" customFormat="1" ht="23.1" customHeight="1">
      <c r="A17" s="683"/>
      <c r="B17" s="893" t="s">
        <v>440</v>
      </c>
      <c r="C17" s="407">
        <f>Додаток2!C18+Додаток3!C16+Додаток4!C15</f>
        <v>272.20999999999998</v>
      </c>
      <c r="D17" s="373">
        <f>Додаток2!D18+Додаток3!D16+Додаток4!D15</f>
        <v>399.7</v>
      </c>
      <c r="E17" s="373">
        <f>Додаток2!E18+Додаток3!E16+Додаток4!E15</f>
        <v>439.8</v>
      </c>
      <c r="F17" s="409">
        <f>Додаток2!F18+Додаток3!F16+Додаток4!F15</f>
        <v>1.85</v>
      </c>
      <c r="G17" s="407">
        <f>Додаток2!G18+Додаток3!G16+Додаток4!G15</f>
        <v>293.7</v>
      </c>
      <c r="H17" s="373">
        <f>Додаток2!H18+Додаток3!H16+Додаток4!H15</f>
        <v>417.04</v>
      </c>
      <c r="I17" s="373">
        <f>Додаток2!I18+Додаток3!I16+Додаток4!I15</f>
        <v>0</v>
      </c>
      <c r="J17" s="373">
        <f>Додаток2!J18+Додаток3!J16+Додаток4!J15</f>
        <v>0</v>
      </c>
      <c r="K17" s="373">
        <f>Додаток2!K18+Додаток3!K16+Додаток4!K15</f>
        <v>377.65</v>
      </c>
      <c r="L17" s="409">
        <f>Додаток2!L18+Додаток3!L16+Додаток4!L15</f>
        <v>1.85</v>
      </c>
      <c r="M17" s="407">
        <f>Додаток2!M18+Додаток3!M16+Додаток4!M15</f>
        <v>47.69</v>
      </c>
      <c r="N17" s="373">
        <f>Додаток2!N18+Додаток3!N16+Додаток4!N15</f>
        <v>61.38</v>
      </c>
      <c r="O17" s="373">
        <f>Додаток2!O18+Додаток3!O16+Додаток4!O15</f>
        <v>0</v>
      </c>
      <c r="P17" s="645">
        <f>Додаток2!P18+Додаток3!P16+Додаток4!P15</f>
        <v>0</v>
      </c>
      <c r="Q17" s="1032">
        <f>Додаток2!Q18+Додаток3!Q16+Додаток4!Q15</f>
        <v>49.21</v>
      </c>
      <c r="R17" s="409">
        <f>Додаток2!R18+Додаток3!R16+Додаток4!R15</f>
        <v>1.85</v>
      </c>
      <c r="S17" s="639">
        <f>Додаток2!S18+Додаток3!S16+Додаток4!S15</f>
        <v>7.79</v>
      </c>
      <c r="T17" s="373">
        <f>Додаток2!T18+Додаток3!T16+Додаток4!T15</f>
        <v>9.43</v>
      </c>
      <c r="U17" s="373">
        <f>[3]Додаток2!U18+[3]Додаток3!U16+[3]Додаток4!U15</f>
        <v>0</v>
      </c>
      <c r="V17" s="645">
        <f>[3]Додаток2!V18+[3]Додаток3!V16+[3]Додаток4!V15</f>
        <v>0</v>
      </c>
      <c r="W17" s="1032">
        <f>Додаток2!W18+Додаток3!W16+Додаток4!W15</f>
        <v>12.83</v>
      </c>
      <c r="X17" s="409">
        <f>Додаток2!X18+Додаток3!X16+Додаток4!X15</f>
        <v>1.85</v>
      </c>
      <c r="Y17" s="407">
        <f>Додаток2!Y18+Додаток3!Y16+Додаток4!Y15</f>
        <v>0.08</v>
      </c>
      <c r="Z17" s="373">
        <f>Додаток2!Z18+Додаток3!Z16+Додаток4!Z15</f>
        <v>0.11</v>
      </c>
      <c r="AA17" s="645">
        <f>[3]Додаток2!AA18+[3]Додаток3!AA16+[3]Додаток4!AA15</f>
        <v>0</v>
      </c>
      <c r="AB17" s="1032">
        <f>Додаток2!AB18+Додаток3!AB16+Додаток4!AB15</f>
        <v>0.11</v>
      </c>
      <c r="AC17" s="409">
        <f>Додаток2!AC18+Додаток3!AC16+Додаток4!AC15</f>
        <v>1.85</v>
      </c>
      <c r="AD17" s="993">
        <f t="shared" si="0"/>
        <v>0</v>
      </c>
      <c r="AE17" s="647"/>
      <c r="AF17" s="414"/>
      <c r="AG17" s="414"/>
      <c r="AH17" s="414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7"/>
      <c r="CO17" s="287"/>
      <c r="CP17" s="287"/>
      <c r="CQ17" s="287"/>
      <c r="CR17" s="287"/>
      <c r="CS17" s="287"/>
      <c r="CT17" s="287"/>
      <c r="CU17" s="287"/>
      <c r="CV17" s="287"/>
      <c r="CW17" s="287"/>
      <c r="CX17" s="287"/>
      <c r="CY17" s="287"/>
      <c r="CZ17" s="287"/>
      <c r="DA17" s="287"/>
      <c r="DB17" s="287"/>
      <c r="DC17" s="287"/>
    </row>
    <row r="18" spans="1:109" s="288" customFormat="1" ht="23.1" customHeight="1">
      <c r="A18" s="683"/>
      <c r="B18" s="894" t="s">
        <v>442</v>
      </c>
      <c r="C18" s="407">
        <f>Додаток2!C19+Додаток3!C17+Додаток4!C16</f>
        <v>937.63</v>
      </c>
      <c r="D18" s="373">
        <f>Додаток2!D19+Додаток3!D17+Додаток4!D16</f>
        <v>917.6</v>
      </c>
      <c r="E18" s="373">
        <f>Додаток2!E19+Додаток3!E17+Додаток4!E16</f>
        <v>1005.5</v>
      </c>
      <c r="F18" s="409">
        <f>Додаток2!F19+Додаток3!F17+Додаток4!F16</f>
        <v>4.25</v>
      </c>
      <c r="G18" s="407">
        <f>Додаток2!G19+Додаток3!G17+Додаток4!G16</f>
        <v>638.14</v>
      </c>
      <c r="H18" s="373">
        <f>Додаток2!H19+Додаток3!H17+Додаток4!H16</f>
        <v>694.65</v>
      </c>
      <c r="I18" s="373">
        <f>Додаток2!I19+Додаток3!I17+Додаток4!I16</f>
        <v>0</v>
      </c>
      <c r="J18" s="373">
        <f>Додаток2!J19+Додаток3!J17+Додаток4!J16</f>
        <v>0</v>
      </c>
      <c r="K18" s="373">
        <f>Додаток2!K19+Додаток3!K17+Додаток4!K16</f>
        <v>863.4</v>
      </c>
      <c r="L18" s="409">
        <f>Додаток2!L19+Додаток3!L17+Додаток4!L16</f>
        <v>4.25</v>
      </c>
      <c r="M18" s="407">
        <f>Додаток2!M19+Додаток3!M17+Додаток4!M16</f>
        <v>103.62</v>
      </c>
      <c r="N18" s="373">
        <f>Додаток2!N19+Додаток3!N17+Додаток4!N16</f>
        <v>102.26</v>
      </c>
      <c r="O18" s="373">
        <f>Додаток2!O19+Додаток3!O17+Додаток4!O16</f>
        <v>0</v>
      </c>
      <c r="P18" s="645">
        <f>Додаток2!P19+Додаток3!P17+Додаток4!P16</f>
        <v>0</v>
      </c>
      <c r="Q18" s="1032">
        <f>Додаток2!Q19+Додаток3!Q17+Додаток4!Q16</f>
        <v>112.52</v>
      </c>
      <c r="R18" s="409">
        <f>Додаток2!R19+Додаток3!R17+Додаток4!R16</f>
        <v>4.25</v>
      </c>
      <c r="S18" s="639">
        <f>Додаток2!S19+Додаток3!S17+Додаток4!S16</f>
        <v>16.93</v>
      </c>
      <c r="T18" s="373">
        <f>Додаток2!T19+Додаток3!T17+Додаток4!T16</f>
        <v>15.71</v>
      </c>
      <c r="U18" s="373">
        <f>[3]Додаток2!U19+[3]Додаток3!U17+[3]Додаток4!U16</f>
        <v>0</v>
      </c>
      <c r="V18" s="645">
        <f>[3]Додаток2!V19+[3]Додаток3!V17+[3]Додаток4!V16</f>
        <v>0</v>
      </c>
      <c r="W18" s="1032">
        <f>Додаток2!W19+Додаток3!W17+Додаток4!W16</f>
        <v>29.33</v>
      </c>
      <c r="X18" s="409">
        <f>Додаток2!X19+Додаток3!X17+Додаток4!X16</f>
        <v>4.25</v>
      </c>
      <c r="Y18" s="407">
        <f>Додаток2!Y19+Додаток3!Y17+Додаток4!Y16</f>
        <v>0.17</v>
      </c>
      <c r="Z18" s="373">
        <f>Додаток2!Z19+Додаток3!Z17+Додаток4!Z16</f>
        <v>0.19</v>
      </c>
      <c r="AA18" s="645">
        <f>[3]Додаток2!AA19+[3]Додаток3!AA17+[3]Додаток4!AA16</f>
        <v>0</v>
      </c>
      <c r="AB18" s="1032">
        <f>Додаток2!AB19+Додаток3!AB17+Додаток4!AB16</f>
        <v>0.25</v>
      </c>
      <c r="AC18" s="409">
        <f>Додаток2!AC19+Додаток3!AC17+Додаток4!AC16</f>
        <v>4.25</v>
      </c>
      <c r="AD18" s="993">
        <f t="shared" si="0"/>
        <v>0</v>
      </c>
      <c r="AE18" s="647"/>
      <c r="AF18" s="414"/>
      <c r="AG18" s="414"/>
      <c r="AH18" s="414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/>
      <c r="BG18" s="287"/>
      <c r="BH18" s="287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287"/>
      <c r="BW18" s="287"/>
      <c r="BX18" s="287"/>
      <c r="BY18" s="287"/>
      <c r="BZ18" s="287"/>
      <c r="CA18" s="287"/>
      <c r="CB18" s="287"/>
      <c r="CC18" s="287"/>
      <c r="CD18" s="287"/>
      <c r="CE18" s="287"/>
      <c r="CF18" s="287"/>
      <c r="CG18" s="287"/>
      <c r="CH18" s="287"/>
      <c r="CI18" s="287"/>
      <c r="CJ18" s="287"/>
      <c r="CK18" s="287"/>
      <c r="CL18" s="287"/>
      <c r="CM18" s="287"/>
      <c r="CN18" s="287"/>
      <c r="CO18" s="287"/>
      <c r="CP18" s="287"/>
      <c r="CQ18" s="287"/>
      <c r="CR18" s="287"/>
      <c r="CS18" s="287"/>
      <c r="CT18" s="287"/>
      <c r="CU18" s="287"/>
      <c r="CV18" s="287"/>
      <c r="CW18" s="287"/>
      <c r="CX18" s="287"/>
      <c r="CY18" s="287"/>
      <c r="CZ18" s="287"/>
      <c r="DA18" s="287"/>
      <c r="DB18" s="287"/>
      <c r="DC18" s="287"/>
    </row>
    <row r="19" spans="1:109" s="288" customFormat="1" ht="33" customHeight="1">
      <c r="A19" s="683"/>
      <c r="B19" s="894" t="s">
        <v>444</v>
      </c>
      <c r="C19" s="407">
        <f>Додаток2!C20+Додаток3!C18+Додаток4!C17</f>
        <v>61.09</v>
      </c>
      <c r="D19" s="373">
        <f>Додаток2!D20+Додаток3!D18+Додаток4!D17</f>
        <v>42.24</v>
      </c>
      <c r="E19" s="373">
        <f>Додаток2!E20+Додаток3!E18+Додаток4!E17</f>
        <v>94.14</v>
      </c>
      <c r="F19" s="409">
        <f>Додаток2!F20+Додаток3!F18+Додаток4!F17</f>
        <v>0.4</v>
      </c>
      <c r="G19" s="407">
        <f>Додаток2!G20+Додаток3!G18+Додаток4!G17</f>
        <v>36.36</v>
      </c>
      <c r="H19" s="373">
        <f>Додаток2!H20+Додаток3!H18+Додаток4!H17</f>
        <v>32.17</v>
      </c>
      <c r="I19" s="373">
        <f>Додаток2!I20+Додаток3!I18+Додаток4!I17</f>
        <v>0</v>
      </c>
      <c r="J19" s="373">
        <f>Додаток2!J20+Додаток3!J18+Додаток4!J17</f>
        <v>0</v>
      </c>
      <c r="K19" s="373">
        <f>Додаток2!K20+Додаток3!K18+Додаток4!K17</f>
        <v>80.83</v>
      </c>
      <c r="L19" s="409">
        <f>Додаток2!L20+Додаток3!L18+Додаток4!L17</f>
        <v>0.4</v>
      </c>
      <c r="M19" s="407">
        <f>Додаток2!M20+Додаток3!M18+Додаток4!M17</f>
        <v>5.9</v>
      </c>
      <c r="N19" s="373">
        <f>Додаток2!N20+Додаток3!N18+Додаток4!N17</f>
        <v>4.74</v>
      </c>
      <c r="O19" s="373">
        <f>Додаток2!O20+Додаток3!O18+Додаток4!O17</f>
        <v>0</v>
      </c>
      <c r="P19" s="645">
        <f>Додаток2!P20+Додаток3!P18+Додаток4!P17</f>
        <v>0</v>
      </c>
      <c r="Q19" s="1032">
        <f>Додаток2!Q20+Додаток3!Q18+Додаток4!Q17</f>
        <v>10.53</v>
      </c>
      <c r="R19" s="409">
        <f>Додаток2!R20+Додаток3!R18+Додаток4!R17</f>
        <v>0.4</v>
      </c>
      <c r="S19" s="639">
        <f>Додаток2!S20+Додаток3!S18+Додаток4!S17</f>
        <v>0.97</v>
      </c>
      <c r="T19" s="373">
        <f>Додаток2!T20+Додаток3!T18+Додаток4!T17</f>
        <v>0.72</v>
      </c>
      <c r="U19" s="373">
        <f>[3]Додаток2!U20+[3]Додаток3!U18+[3]Додаток4!U17</f>
        <v>0</v>
      </c>
      <c r="V19" s="645">
        <f>[3]Додаток2!V20+[3]Додаток3!V18+[3]Додаток4!V17</f>
        <v>0</v>
      </c>
      <c r="W19" s="1032">
        <f>Додаток2!W20+Додаток3!W18+Додаток4!W17</f>
        <v>2.75</v>
      </c>
      <c r="X19" s="409">
        <f>Додаток2!X20+Додаток3!X18+Додаток4!X17</f>
        <v>0.4</v>
      </c>
      <c r="Y19" s="407">
        <f>Додаток2!Y20+Додаток3!Y18+Додаток4!Y17</f>
        <v>0.01</v>
      </c>
      <c r="Z19" s="373">
        <f>Додаток2!Z20+Додаток3!Z18+Додаток4!Z17</f>
        <v>0.01</v>
      </c>
      <c r="AA19" s="645">
        <f>[3]Додаток2!AA20+[3]Додаток3!AA18+[3]Додаток4!AA17</f>
        <v>0</v>
      </c>
      <c r="AB19" s="1032">
        <f>Додаток2!AB20+Додаток3!AB18+Додаток4!AB17</f>
        <v>0.03</v>
      </c>
      <c r="AC19" s="409">
        <f>Додаток2!AC20+Додаток3!AC18+Додаток4!AC17</f>
        <v>0.4</v>
      </c>
      <c r="AD19" s="993">
        <f t="shared" si="0"/>
        <v>0</v>
      </c>
      <c r="AE19" s="647"/>
      <c r="AF19" s="414"/>
      <c r="AG19" s="414"/>
      <c r="AH19" s="414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  <c r="CB19" s="287"/>
      <c r="CC19" s="287"/>
      <c r="CD19" s="287"/>
      <c r="CE19" s="287"/>
      <c r="CF19" s="287"/>
      <c r="CG19" s="287"/>
      <c r="CH19" s="287"/>
      <c r="CI19" s="287"/>
      <c r="CJ19" s="287"/>
      <c r="CK19" s="287"/>
      <c r="CL19" s="287"/>
      <c r="CM19" s="287"/>
      <c r="CN19" s="287"/>
      <c r="CO19" s="287"/>
      <c r="CP19" s="287"/>
      <c r="CQ19" s="287"/>
      <c r="CR19" s="287"/>
      <c r="CS19" s="287"/>
      <c r="CT19" s="287"/>
      <c r="CU19" s="287"/>
      <c r="CV19" s="287"/>
      <c r="CW19" s="287"/>
      <c r="CX19" s="287"/>
      <c r="CY19" s="287"/>
      <c r="CZ19" s="287"/>
      <c r="DA19" s="287"/>
      <c r="DB19" s="287"/>
      <c r="DC19" s="287"/>
    </row>
    <row r="20" spans="1:109" s="288" customFormat="1" ht="23.1" customHeight="1">
      <c r="A20" s="683"/>
      <c r="B20" s="894" t="s">
        <v>445</v>
      </c>
      <c r="C20" s="407">
        <f>Додаток2!C21</f>
        <v>41.88</v>
      </c>
      <c r="D20" s="373">
        <f>Додаток2!D21</f>
        <v>56.63</v>
      </c>
      <c r="E20" s="373">
        <f>Додаток2!E21</f>
        <v>360.8</v>
      </c>
      <c r="F20" s="409">
        <f>Додаток2!F21</f>
        <v>1.52</v>
      </c>
      <c r="G20" s="407">
        <f>Додаток2!G21</f>
        <v>35.229999999999997</v>
      </c>
      <c r="H20" s="373">
        <f>Додаток2!H21</f>
        <v>48.41</v>
      </c>
      <c r="I20" s="373">
        <f>Додаток2!I21</f>
        <v>0</v>
      </c>
      <c r="J20" s="373">
        <f>Додаток2!J21</f>
        <v>0</v>
      </c>
      <c r="K20" s="373">
        <f>Додаток2!K21</f>
        <v>309.81</v>
      </c>
      <c r="L20" s="409">
        <f>Додаток2!L21</f>
        <v>1.52</v>
      </c>
      <c r="M20" s="407">
        <f>Додаток2!M21</f>
        <v>5.72</v>
      </c>
      <c r="N20" s="373">
        <f>Додаток2!N21</f>
        <v>7.13</v>
      </c>
      <c r="O20" s="373">
        <f>Додаток2!O21</f>
        <v>0</v>
      </c>
      <c r="P20" s="645">
        <f>Додаток2!P21</f>
        <v>0</v>
      </c>
      <c r="Q20" s="1032">
        <f>Додаток2!Q21</f>
        <v>40.369999999999997</v>
      </c>
      <c r="R20" s="409">
        <f>Додаток2!R21</f>
        <v>1.52</v>
      </c>
      <c r="S20" s="639">
        <f>Додаток2!S21</f>
        <v>0.93</v>
      </c>
      <c r="T20" s="373">
        <f>Додаток2!T21</f>
        <v>1.0900000000000001</v>
      </c>
      <c r="U20" s="373">
        <f>[3]Додаток2!U21</f>
        <v>0</v>
      </c>
      <c r="V20" s="645">
        <f>[3]Додаток2!V21</f>
        <v>0</v>
      </c>
      <c r="W20" s="1032">
        <f>Додаток2!W21</f>
        <v>10.52</v>
      </c>
      <c r="X20" s="409">
        <f>Додаток2!X21</f>
        <v>1.52</v>
      </c>
      <c r="Y20" s="407">
        <f>Додаток2!Y21</f>
        <v>0.01</v>
      </c>
      <c r="Z20" s="373">
        <f>Додаток2!Z21</f>
        <v>0.01</v>
      </c>
      <c r="AA20" s="645">
        <f>[3]Додаток2!AA21</f>
        <v>0</v>
      </c>
      <c r="AB20" s="1032">
        <f>Додаток2!AB21</f>
        <v>0.1</v>
      </c>
      <c r="AC20" s="409">
        <f>Додаток2!AC21</f>
        <v>1.52</v>
      </c>
      <c r="AD20" s="993">
        <f t="shared" si="0"/>
        <v>0</v>
      </c>
      <c r="AE20" s="647"/>
      <c r="AF20" s="414"/>
      <c r="AG20" s="414"/>
      <c r="AH20" s="414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87"/>
      <c r="BG20" s="287"/>
      <c r="BH20" s="287"/>
      <c r="BI20" s="287"/>
      <c r="BJ20" s="287"/>
      <c r="BK20" s="287"/>
      <c r="BL20" s="287"/>
      <c r="BM20" s="287"/>
      <c r="BN20" s="287"/>
      <c r="BO20" s="287"/>
      <c r="BP20" s="287"/>
      <c r="BQ20" s="287"/>
      <c r="BR20" s="287"/>
      <c r="BS20" s="287"/>
      <c r="BT20" s="287"/>
      <c r="BU20" s="287"/>
      <c r="BV20" s="287"/>
      <c r="BW20" s="287"/>
      <c r="BX20" s="287"/>
      <c r="BY20" s="287"/>
      <c r="BZ20" s="287"/>
      <c r="CA20" s="287"/>
      <c r="CB20" s="287"/>
      <c r="CC20" s="287"/>
      <c r="CD20" s="287"/>
      <c r="CE20" s="287"/>
      <c r="CF20" s="287"/>
      <c r="CG20" s="287"/>
      <c r="CH20" s="287"/>
      <c r="CI20" s="287"/>
      <c r="CJ20" s="287"/>
      <c r="CK20" s="287"/>
      <c r="CL20" s="287"/>
      <c r="CM20" s="287"/>
      <c r="CN20" s="287"/>
      <c r="CO20" s="287"/>
      <c r="CP20" s="287"/>
      <c r="CQ20" s="287"/>
      <c r="CR20" s="287"/>
      <c r="CS20" s="287"/>
      <c r="CT20" s="287"/>
      <c r="CU20" s="287"/>
      <c r="CV20" s="287"/>
      <c r="CW20" s="287"/>
      <c r="CX20" s="287"/>
      <c r="CY20" s="287"/>
      <c r="CZ20" s="287"/>
      <c r="DA20" s="287"/>
      <c r="DB20" s="287"/>
      <c r="DC20" s="287"/>
    </row>
    <row r="21" spans="1:109" s="288" customFormat="1" ht="23.1" hidden="1" customHeight="1">
      <c r="A21" s="683"/>
      <c r="B21" s="894" t="s">
        <v>454</v>
      </c>
      <c r="C21" s="762">
        <f>Додаток2!C22</f>
        <v>9.1</v>
      </c>
      <c r="D21" s="373">
        <f>Додаток2!D22</f>
        <v>9.3800000000000008</v>
      </c>
      <c r="E21" s="373">
        <f>Додаток2!E22</f>
        <v>10.5</v>
      </c>
      <c r="F21" s="778">
        <f>Додаток2!F22</f>
        <v>0.04</v>
      </c>
      <c r="G21" s="407">
        <f>Додаток2!G22</f>
        <v>7.65</v>
      </c>
      <c r="H21" s="639">
        <f>Додаток2!H22</f>
        <v>8.02</v>
      </c>
      <c r="I21" s="639">
        <f>Додаток2!I22</f>
        <v>0</v>
      </c>
      <c r="J21" s="639">
        <f>Додаток2!J22</f>
        <v>0</v>
      </c>
      <c r="K21" s="639">
        <f>Додаток2!K22</f>
        <v>9.02</v>
      </c>
      <c r="L21" s="778">
        <f>Додаток2!L22</f>
        <v>0.04</v>
      </c>
      <c r="M21" s="407">
        <f>Додаток2!M22</f>
        <v>1.24</v>
      </c>
      <c r="N21" s="639">
        <f>Додаток2!N22</f>
        <v>1.18</v>
      </c>
      <c r="O21" s="639">
        <f>Додаток2!O22</f>
        <v>0</v>
      </c>
      <c r="P21" s="752">
        <f>Додаток2!P22</f>
        <v>0</v>
      </c>
      <c r="Q21" s="1032">
        <f>Додаток2!Q22</f>
        <v>1.17</v>
      </c>
      <c r="R21" s="409">
        <f>Додаток2!R22</f>
        <v>0.04</v>
      </c>
      <c r="S21" s="639">
        <f>Додаток2!S22</f>
        <v>0.2</v>
      </c>
      <c r="T21" s="639">
        <f>Додаток2!T22</f>
        <v>0.18</v>
      </c>
      <c r="U21" s="373">
        <f>[3]Додаток2!U22</f>
        <v>0</v>
      </c>
      <c r="V21" s="645">
        <f>[3]Додаток2!V22</f>
        <v>0</v>
      </c>
      <c r="W21" s="1032">
        <f>Додаток2!W22</f>
        <v>0.31</v>
      </c>
      <c r="X21" s="409">
        <f>Додаток2!X22</f>
        <v>0.04</v>
      </c>
      <c r="Y21" s="407">
        <f>Додаток2!Y22</f>
        <v>0</v>
      </c>
      <c r="Z21" s="639">
        <f>Додаток2!Z22</f>
        <v>0</v>
      </c>
      <c r="AA21" s="645">
        <f>[3]Додаток2!AA22</f>
        <v>0</v>
      </c>
      <c r="AB21" s="1032">
        <f>Додаток2!AB22</f>
        <v>0.01</v>
      </c>
      <c r="AC21" s="409">
        <f>Додаток2!AC22</f>
        <v>0.04</v>
      </c>
      <c r="AD21" s="993">
        <f t="shared" si="0"/>
        <v>0.01</v>
      </c>
      <c r="AE21" s="647"/>
      <c r="AF21" s="414"/>
      <c r="AG21" s="414"/>
      <c r="AH21" s="414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/>
      <c r="BG21" s="287"/>
      <c r="BH21" s="287"/>
      <c r="BI21" s="287"/>
      <c r="BJ21" s="287"/>
      <c r="BK21" s="287"/>
      <c r="BL21" s="287"/>
      <c r="BM21" s="287"/>
      <c r="BN21" s="287"/>
      <c r="BO21" s="287"/>
      <c r="BP21" s="287"/>
      <c r="BQ21" s="287"/>
      <c r="BR21" s="287"/>
      <c r="BS21" s="287"/>
      <c r="BT21" s="287"/>
      <c r="BU21" s="287"/>
      <c r="BV21" s="287"/>
      <c r="BW21" s="287"/>
      <c r="BX21" s="287"/>
      <c r="BY21" s="287"/>
      <c r="BZ21" s="287"/>
      <c r="CA21" s="287"/>
      <c r="CB21" s="287"/>
      <c r="CC21" s="287"/>
      <c r="CD21" s="287"/>
      <c r="CE21" s="287"/>
      <c r="CF21" s="287"/>
      <c r="CG21" s="287"/>
      <c r="CH21" s="287"/>
      <c r="CI21" s="287"/>
      <c r="CJ21" s="287"/>
      <c r="CK21" s="287"/>
      <c r="CL21" s="287"/>
      <c r="CM21" s="287"/>
      <c r="CN21" s="287"/>
      <c r="CO21" s="287"/>
      <c r="CP21" s="287"/>
      <c r="CQ21" s="287"/>
      <c r="CR21" s="287"/>
      <c r="CS21" s="287"/>
      <c r="CT21" s="287"/>
      <c r="CU21" s="287"/>
      <c r="CV21" s="287"/>
      <c r="CW21" s="287"/>
      <c r="CX21" s="287"/>
      <c r="CY21" s="287"/>
      <c r="CZ21" s="287"/>
      <c r="DA21" s="287"/>
      <c r="DB21" s="287"/>
      <c r="DC21" s="287"/>
    </row>
    <row r="22" spans="1:109" s="285" customFormat="1" ht="49.5" customHeight="1">
      <c r="A22" s="682" t="s">
        <v>40</v>
      </c>
      <c r="B22" s="891" t="s">
        <v>342</v>
      </c>
      <c r="C22" s="777">
        <f>Додаток2!C23+Додаток3!C19+Додаток4!C18</f>
        <v>22144.05</v>
      </c>
      <c r="D22" s="372">
        <f>Додаток2!D23+Додаток3!D19+Додаток4!D18</f>
        <v>21491.51</v>
      </c>
      <c r="E22" s="372">
        <f>Додаток2!E23+Додаток3!E19+Додаток4!E18</f>
        <v>26785.38</v>
      </c>
      <c r="F22" s="405">
        <f>E22/$E$69*1000</f>
        <v>113.08</v>
      </c>
      <c r="G22" s="863">
        <f>Додаток2!G23+Додаток3!G19+Додаток4!G18</f>
        <v>17224.07</v>
      </c>
      <c r="H22" s="816">
        <f>Додаток2!H23+Додаток3!H19+Додаток4!H18</f>
        <v>17456.09</v>
      </c>
      <c r="I22" s="755">
        <v>23664.639999999999</v>
      </c>
      <c r="J22" s="755">
        <v>115.27</v>
      </c>
      <c r="K22" s="372">
        <f>Додаток2!K23+Додаток3!K19+Додаток4!K18</f>
        <v>22999.87</v>
      </c>
      <c r="L22" s="405">
        <f>K22/$K$69*1000</f>
        <v>113.08</v>
      </c>
      <c r="M22" s="863">
        <f>Додаток2!M23+Додаток3!M19+Додаток4!M18</f>
        <v>2796.8</v>
      </c>
      <c r="N22" s="816">
        <f>Додаток2!N23+Додаток3!N19+Додаток4!N18</f>
        <v>2569.5</v>
      </c>
      <c r="O22" s="755">
        <v>3140.26</v>
      </c>
      <c r="P22" s="878">
        <v>115.27</v>
      </c>
      <c r="Q22" s="1031">
        <f>Додаток2!Q23+Додаток3!Q19+Додаток4!Q18</f>
        <v>2997.38</v>
      </c>
      <c r="R22" s="405">
        <f>Q22/$Q$69*1000</f>
        <v>113.08</v>
      </c>
      <c r="S22" s="1024">
        <f>Додаток2!S23+Додаток3!S19+Додаток4!S18</f>
        <v>456.81</v>
      </c>
      <c r="T22" s="816">
        <f>Додаток2!T23+Додаток3!T19+Додаток4!T18</f>
        <v>394.79</v>
      </c>
      <c r="U22" s="755">
        <v>1030.32</v>
      </c>
      <c r="V22" s="878">
        <v>115.27</v>
      </c>
      <c r="W22" s="1031">
        <f>Додаток2!W23+Додаток3!W19+Додаток4!W18</f>
        <v>781.24</v>
      </c>
      <c r="X22" s="405">
        <f>W22/$W$69*1000</f>
        <v>113.08</v>
      </c>
      <c r="Y22" s="863">
        <f>Додаток2!Y23+Додаток3!Y19+Додаток4!Y18</f>
        <v>4.6900000000000004</v>
      </c>
      <c r="Z22" s="816">
        <f>Додаток2!Z23+Додаток3!Z19+Додаток4!Z18</f>
        <v>4.6100000000000003</v>
      </c>
      <c r="AA22" s="878">
        <v>115.27</v>
      </c>
      <c r="AB22" s="1031">
        <f>Додаток2!AB23+Додаток3!AB19+Додаток4!AB18</f>
        <v>6.89</v>
      </c>
      <c r="AC22" s="763">
        <f>Додаток2!AC23+Додаток3!AC19+Додаток4!AC18</f>
        <v>113.08</v>
      </c>
      <c r="AD22" s="993">
        <f t="shared" si="0"/>
        <v>0</v>
      </c>
      <c r="AE22" s="284"/>
      <c r="AF22" s="414"/>
      <c r="AG22" s="414"/>
      <c r="AH22" s="414"/>
    </row>
    <row r="23" spans="1:109" s="290" customFormat="1" ht="21.95" customHeight="1">
      <c r="A23" s="683" t="s">
        <v>343</v>
      </c>
      <c r="B23" s="893" t="s">
        <v>41</v>
      </c>
      <c r="C23" s="407">
        <f>Додаток2!C24+Додаток3!C20+Додаток4!C19</f>
        <v>16288.32</v>
      </c>
      <c r="D23" s="373">
        <f>Додаток2!D24+Додаток3!D20+Додаток4!D19</f>
        <v>17678.650000000001</v>
      </c>
      <c r="E23" s="373">
        <f>Додаток2!E24+Додаток3!E20+Додаток4!E19</f>
        <v>21955.23</v>
      </c>
      <c r="F23" s="408">
        <f>E23/$E$69*1000</f>
        <v>92.69</v>
      </c>
      <c r="G23" s="864">
        <f>Додаток2!G24+Додаток3!G20+Додаток4!G19</f>
        <v>13020.43</v>
      </c>
      <c r="H23" s="817">
        <f>Додаток2!H24+Додаток3!H20+Додаток4!H19</f>
        <v>14339.74</v>
      </c>
      <c r="I23" s="756">
        <v>19397.25</v>
      </c>
      <c r="J23" s="756">
        <v>94.49</v>
      </c>
      <c r="K23" s="373">
        <f>Додаток2!K24+Додаток3!K20+Додаток4!K19</f>
        <v>18852.349999999999</v>
      </c>
      <c r="L23" s="408">
        <f>K23/$K$69*1000</f>
        <v>92.69</v>
      </c>
      <c r="M23" s="864">
        <f>Додаток2!M24+Додаток3!M20+Додаток4!M19</f>
        <v>2114.2199999999998</v>
      </c>
      <c r="N23" s="817">
        <f>Додаток2!N24+Додаток3!N20+Додаток4!N19</f>
        <v>2110.7800000000002</v>
      </c>
      <c r="O23" s="756">
        <v>2573.9899999999998</v>
      </c>
      <c r="P23" s="877">
        <v>94.49</v>
      </c>
      <c r="Q23" s="1032">
        <f>Додаток2!Q24+Додаток3!Q20+Додаток4!Q19</f>
        <v>2456.87</v>
      </c>
      <c r="R23" s="408">
        <f>Q23/$Q$69*1000</f>
        <v>92.69</v>
      </c>
      <c r="S23" s="1026">
        <f>Додаток2!S24+Додаток3!S20+Додаток4!S19</f>
        <v>345.33</v>
      </c>
      <c r="T23" s="817">
        <f>Додаток2!T24+Додаток3!T20+Додаток4!T19</f>
        <v>324.31</v>
      </c>
      <c r="U23" s="756">
        <v>844.53</v>
      </c>
      <c r="V23" s="877">
        <v>94.49</v>
      </c>
      <c r="W23" s="1032">
        <f>Додаток2!W24+Додаток3!W20+Додаток4!W19</f>
        <v>640.37</v>
      </c>
      <c r="X23" s="408">
        <f>W23/$W$69*1000</f>
        <v>92.69</v>
      </c>
      <c r="Y23" s="864">
        <f>Додаток2!Y24+Додаток3!Y20+Додаток4!Y19</f>
        <v>3.54</v>
      </c>
      <c r="Z23" s="817">
        <f>Додаток2!Z24+Додаток3!Z20+Додаток4!Z19</f>
        <v>3.78</v>
      </c>
      <c r="AA23" s="877">
        <v>94.49</v>
      </c>
      <c r="AB23" s="1032">
        <f>Додаток2!AB24+Додаток3!AB20+Додаток4!AB19</f>
        <v>5.64</v>
      </c>
      <c r="AC23" s="409">
        <f>Додаток2!AC24+Додаток3!AC20+Додаток4!AC19</f>
        <v>92.69</v>
      </c>
      <c r="AD23" s="993">
        <f t="shared" si="0"/>
        <v>0</v>
      </c>
      <c r="AE23" s="289"/>
      <c r="AF23" s="415"/>
      <c r="AG23" s="445"/>
      <c r="AH23" s="445"/>
    </row>
    <row r="24" spans="1:109" s="288" customFormat="1" ht="21.95" customHeight="1">
      <c r="A24" s="683" t="s">
        <v>344</v>
      </c>
      <c r="B24" s="893" t="s">
        <v>45</v>
      </c>
      <c r="C24" s="407">
        <f>Додаток2!C25+Додаток3!C21+Додаток4!C20</f>
        <v>5855.73</v>
      </c>
      <c r="D24" s="373">
        <f>Додаток2!D25+Додаток3!D21+Додаток4!D20</f>
        <v>3812.86</v>
      </c>
      <c r="E24" s="373">
        <f>Додаток2!E25+Додаток3!E21+Додаток4!E20</f>
        <v>4830.1499999999996</v>
      </c>
      <c r="F24" s="408">
        <f>E24/$E$69*1000</f>
        <v>20.39</v>
      </c>
      <c r="G24" s="864">
        <f>Додаток2!G25+Додаток3!G21+Додаток4!G20</f>
        <v>4203.6400000000003</v>
      </c>
      <c r="H24" s="817">
        <f>Додаток2!H25+Додаток3!H21+Додаток4!H20</f>
        <v>3116.35</v>
      </c>
      <c r="I24" s="756">
        <v>4267.3999999999996</v>
      </c>
      <c r="J24" s="756">
        <v>20.79</v>
      </c>
      <c r="K24" s="373">
        <f>Додаток2!K25+Додаток3!K21+Додаток4!K20</f>
        <v>4147.5200000000004</v>
      </c>
      <c r="L24" s="408">
        <f>K24/$K$69*1000</f>
        <v>20.39</v>
      </c>
      <c r="M24" s="864">
        <f>Додаток2!M25+Додаток3!M21+Додаток4!M20</f>
        <v>682.58</v>
      </c>
      <c r="N24" s="817">
        <f>Додаток2!N25+Додаток3!N21+Додаток4!N20</f>
        <v>458.72</v>
      </c>
      <c r="O24" s="756">
        <v>566.27</v>
      </c>
      <c r="P24" s="877">
        <v>20.79</v>
      </c>
      <c r="Q24" s="1032">
        <f>Додаток2!Q25+Додаток3!Q21+Додаток4!Q20</f>
        <v>540.51</v>
      </c>
      <c r="R24" s="408">
        <f>Q24/$Q$69*1000</f>
        <v>20.39</v>
      </c>
      <c r="S24" s="1026">
        <f>Додаток2!S25+Додаток3!S21+Додаток4!S20</f>
        <v>111.48</v>
      </c>
      <c r="T24" s="817">
        <f>Додаток2!T25+Додаток3!T21+Додаток4!T20</f>
        <v>70.48</v>
      </c>
      <c r="U24" s="756">
        <v>185.8</v>
      </c>
      <c r="V24" s="877">
        <v>20.79</v>
      </c>
      <c r="W24" s="1032">
        <f>Додаток2!W25+Додаток3!W21+Додаток4!W20</f>
        <v>140.87</v>
      </c>
      <c r="X24" s="408">
        <f>W24/$W$69*1000</f>
        <v>20.39</v>
      </c>
      <c r="Y24" s="864">
        <f>Додаток2!Y25+Додаток3!Y21+Додаток4!Y20</f>
        <v>1.1499999999999999</v>
      </c>
      <c r="Z24" s="817">
        <f>Додаток2!Z25+Додаток3!Z21+Додаток4!Z20</f>
        <v>0.83</v>
      </c>
      <c r="AA24" s="877">
        <v>20.79</v>
      </c>
      <c r="AB24" s="1032">
        <f>Додаток2!AB25+Додаток3!AB21+Додаток4!AB20</f>
        <v>1.25</v>
      </c>
      <c r="AC24" s="409">
        <f>Додаток2!AC25+Додаток3!AC21+Додаток4!AC20</f>
        <v>20.39</v>
      </c>
      <c r="AD24" s="993">
        <f t="shared" si="0"/>
        <v>0</v>
      </c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/>
      <c r="BD24" s="287"/>
      <c r="BE24" s="287"/>
      <c r="BF24" s="287"/>
      <c r="BG24" s="287"/>
      <c r="BH24" s="287"/>
      <c r="BI24" s="287"/>
      <c r="BJ24" s="287"/>
      <c r="BK24" s="287"/>
      <c r="BL24" s="287"/>
      <c r="BM24" s="287"/>
      <c r="BN24" s="287"/>
      <c r="BO24" s="287"/>
      <c r="BP24" s="287"/>
      <c r="BQ24" s="287"/>
      <c r="BR24" s="287"/>
      <c r="BS24" s="287"/>
      <c r="BT24" s="287"/>
      <c r="BU24" s="287"/>
      <c r="BV24" s="287"/>
      <c r="BW24" s="287"/>
      <c r="BX24" s="287"/>
      <c r="BY24" s="287"/>
      <c r="BZ24" s="287"/>
      <c r="CA24" s="287"/>
      <c r="CB24" s="287"/>
      <c r="CC24" s="287"/>
      <c r="CD24" s="287"/>
      <c r="CE24" s="287"/>
      <c r="CF24" s="287"/>
      <c r="CG24" s="287"/>
      <c r="CH24" s="287"/>
      <c r="CI24" s="287"/>
      <c r="CJ24" s="287"/>
      <c r="CK24" s="287"/>
      <c r="CL24" s="287"/>
      <c r="CM24" s="287"/>
      <c r="CN24" s="287"/>
      <c r="CO24" s="287"/>
      <c r="CP24" s="287"/>
      <c r="CQ24" s="287"/>
      <c r="CR24" s="287"/>
      <c r="CS24" s="287"/>
      <c r="CT24" s="287"/>
      <c r="CU24" s="287"/>
      <c r="CV24" s="287"/>
      <c r="CW24" s="287"/>
      <c r="CX24" s="287"/>
      <c r="CY24" s="287"/>
    </row>
    <row r="25" spans="1:109" s="288" customFormat="1" ht="21.95" customHeight="1">
      <c r="A25" s="682" t="s">
        <v>42</v>
      </c>
      <c r="B25" s="891" t="s">
        <v>43</v>
      </c>
      <c r="C25" s="777">
        <f>Додаток2!C26+Додаток3!C22+Додаток4!C21</f>
        <v>2685.68</v>
      </c>
      <c r="D25" s="372">
        <f>Додаток2!D26+Додаток3!D22+Додаток4!D21</f>
        <v>3247.37</v>
      </c>
      <c r="E25" s="372">
        <f>Додаток2!E26+Додаток3!E22+Додаток4!E21</f>
        <v>2764.99</v>
      </c>
      <c r="F25" s="763">
        <f>Додаток2!F26+Додаток3!F22+Додаток4!F21</f>
        <v>11.68</v>
      </c>
      <c r="G25" s="777">
        <f>Додаток2!G26+Додаток3!G22+Додаток4!G21</f>
        <v>2016.76</v>
      </c>
      <c r="H25" s="372">
        <f>Додаток2!H26+Додаток3!H22+Додаток4!H21</f>
        <v>2524.85</v>
      </c>
      <c r="I25" s="372">
        <v>1764.71</v>
      </c>
      <c r="J25" s="372">
        <v>8.6</v>
      </c>
      <c r="K25" s="372">
        <f>Додаток2!K26+Додаток3!K22+Додаток4!K21</f>
        <v>2374.2199999999998</v>
      </c>
      <c r="L25" s="763">
        <f>Додаток2!L26+Додаток3!L22+Додаток4!L21</f>
        <v>11.68</v>
      </c>
      <c r="M25" s="777">
        <f>Додаток2!M26+Додаток3!M22+Додаток4!M21</f>
        <v>327.48</v>
      </c>
      <c r="N25" s="372">
        <f>Додаток2!N26+Додаток3!N22+Додаток4!N21</f>
        <v>371.65</v>
      </c>
      <c r="O25" s="372">
        <v>234.17</v>
      </c>
      <c r="P25" s="879">
        <v>8.6</v>
      </c>
      <c r="Q25" s="1031">
        <f>Додаток2!Q26+Додаток3!Q22+Додаток4!Q21</f>
        <v>309.39999999999998</v>
      </c>
      <c r="R25" s="763">
        <f>Додаток2!R26+Додаток3!R22+Додаток4!R21</f>
        <v>11.68</v>
      </c>
      <c r="S25" s="638">
        <f>Додаток2!S26+Додаток3!S22+Додаток4!S21</f>
        <v>53.49</v>
      </c>
      <c r="T25" s="372">
        <f>Додаток2!T26+Додаток3!T22+Додаток4!T21</f>
        <v>57.11</v>
      </c>
      <c r="U25" s="372">
        <v>76.83</v>
      </c>
      <c r="V25" s="879">
        <v>8.6</v>
      </c>
      <c r="W25" s="1031">
        <f>Додаток2!W26+Додаток3!W22+Додаток4!W21</f>
        <v>80.64</v>
      </c>
      <c r="X25" s="763">
        <f>Додаток2!X26+Додаток3!X22+Додаток4!X21</f>
        <v>11.68</v>
      </c>
      <c r="Y25" s="777">
        <f>Додаток2!Y26+Додаток3!Y22+Додаток4!Y21</f>
        <v>0.55000000000000004</v>
      </c>
      <c r="Z25" s="372">
        <f>Додаток2!Z26+Додаток3!Z22+Додаток4!Z21</f>
        <v>0.66</v>
      </c>
      <c r="AA25" s="879">
        <v>8.6</v>
      </c>
      <c r="AB25" s="1031">
        <f>Додаток2!AB26+Додаток3!AB22+Додаток4!AB21</f>
        <v>0.73</v>
      </c>
      <c r="AC25" s="763">
        <f>Додаток2!AC26+Додаток3!AC22+Додаток4!AC21</f>
        <v>11.68</v>
      </c>
      <c r="AD25" s="993">
        <f t="shared" si="0"/>
        <v>0</v>
      </c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/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</row>
    <row r="26" spans="1:109" s="288" customFormat="1" ht="21.95" customHeight="1">
      <c r="A26" s="683" t="s">
        <v>46</v>
      </c>
      <c r="B26" s="893" t="s">
        <v>47</v>
      </c>
      <c r="C26" s="407">
        <f>Додаток2!C27+Додаток3!C23+Додаток4!C22</f>
        <v>1831.18</v>
      </c>
      <c r="D26" s="373">
        <f>Додаток2!D27+Додаток3!D23+Додаток4!D22</f>
        <v>1673.45</v>
      </c>
      <c r="E26" s="373">
        <f>Додаток2!E27+Додаток3!E23+Додаток4!E22</f>
        <v>1698.28</v>
      </c>
      <c r="F26" s="409">
        <f>Додаток2!F27+Додаток3!F23+Додаток4!F22</f>
        <v>7.17</v>
      </c>
      <c r="G26" s="407">
        <f>Додаток2!G27+Додаток3!G23+Додаток4!G22</f>
        <v>1402.57</v>
      </c>
      <c r="H26" s="373">
        <f>Додаток2!H27+Додаток3!H23+Додаток4!H22</f>
        <v>1333.03</v>
      </c>
      <c r="I26" s="373">
        <v>1258.8800000000001</v>
      </c>
      <c r="J26" s="373">
        <v>6.13</v>
      </c>
      <c r="K26" s="373">
        <f>Додаток2!K27+Додаток3!K23+Додаток4!K22</f>
        <v>1458.27</v>
      </c>
      <c r="L26" s="409">
        <f>Додаток2!L27+Додаток3!L23+Додаток4!L22</f>
        <v>7.17</v>
      </c>
      <c r="M26" s="407">
        <f>Додаток2!M27+Додаток3!M23+Додаток4!M22</f>
        <v>227.75</v>
      </c>
      <c r="N26" s="373">
        <f>Додаток2!N27+Додаток3!N23+Додаток4!N22</f>
        <v>196.22</v>
      </c>
      <c r="O26" s="373">
        <v>167.05</v>
      </c>
      <c r="P26" s="645">
        <v>6.13</v>
      </c>
      <c r="Q26" s="1032">
        <f>Додаток2!Q27+Додаток3!Q23+Додаток4!Q22</f>
        <v>190.04</v>
      </c>
      <c r="R26" s="409">
        <f>Додаток2!R27+Додаток3!R23+Додаток4!R22</f>
        <v>7.17</v>
      </c>
      <c r="S26" s="639">
        <f>Додаток2!S27+Додаток3!S23+Додаток4!S22</f>
        <v>37.200000000000003</v>
      </c>
      <c r="T26" s="373">
        <f>Додаток2!T27+Додаток3!T23+Додаток4!T22</f>
        <v>30.15</v>
      </c>
      <c r="U26" s="373">
        <v>54.81</v>
      </c>
      <c r="V26" s="645">
        <v>6.13</v>
      </c>
      <c r="W26" s="1032">
        <f>Додаток2!W27+Додаток3!W23+Додаток4!W22</f>
        <v>49.53</v>
      </c>
      <c r="X26" s="409">
        <f>Додаток2!X27+Додаток3!X23+Додаток4!X22</f>
        <v>7.17</v>
      </c>
      <c r="Y26" s="407">
        <f>Додаток2!Y27+Додаток3!Y23+Додаток4!Y22</f>
        <v>0.38</v>
      </c>
      <c r="Z26" s="373">
        <f>Додаток2!Z27+Додаток3!Z23+Додаток4!Z22</f>
        <v>0.35</v>
      </c>
      <c r="AA26" s="645">
        <v>6.13</v>
      </c>
      <c r="AB26" s="1032">
        <f>Додаток2!AB27+Додаток3!AB23+Додаток4!AB22</f>
        <v>0.44</v>
      </c>
      <c r="AC26" s="409">
        <f>Додаток2!AC27+Додаток3!AC23+Додаток4!AC22</f>
        <v>7.17</v>
      </c>
      <c r="AD26" s="993">
        <f t="shared" si="0"/>
        <v>0</v>
      </c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  <c r="BV26" s="287"/>
      <c r="BW26" s="287"/>
      <c r="BX26" s="287"/>
      <c r="BY26" s="287"/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/>
      <c r="CK26" s="287"/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</row>
    <row r="27" spans="1:109" s="288" customFormat="1" ht="21.95" customHeight="1">
      <c r="A27" s="683"/>
      <c r="B27" s="893" t="s">
        <v>446</v>
      </c>
      <c r="C27" s="407">
        <f>Додаток2!C28</f>
        <v>230.17</v>
      </c>
      <c r="D27" s="373">
        <f>Додаток2!D28</f>
        <v>324.69</v>
      </c>
      <c r="E27" s="373">
        <f>Додаток2!E28</f>
        <v>444.42</v>
      </c>
      <c r="F27" s="409">
        <f>Додаток2!F28</f>
        <v>1.88</v>
      </c>
      <c r="G27" s="407">
        <f>Додаток2!G28</f>
        <v>193.6</v>
      </c>
      <c r="H27" s="373">
        <f>Додаток2!H28</f>
        <v>277.56</v>
      </c>
      <c r="I27" s="373">
        <f>Додаток2!I28</f>
        <v>0</v>
      </c>
      <c r="J27" s="373">
        <v>0</v>
      </c>
      <c r="K27" s="373">
        <f>Додаток2!K28</f>
        <v>381.61</v>
      </c>
      <c r="L27" s="409">
        <f>Додаток2!L28</f>
        <v>1.88</v>
      </c>
      <c r="M27" s="407">
        <f>Додаток2!M28</f>
        <v>31.44</v>
      </c>
      <c r="N27" s="373">
        <f>Додаток2!N28</f>
        <v>40.86</v>
      </c>
      <c r="O27" s="373">
        <f>[3]Додаток2!O28</f>
        <v>0</v>
      </c>
      <c r="P27" s="645">
        <v>0</v>
      </c>
      <c r="Q27" s="1032">
        <f>Додаток2!Q28</f>
        <v>49.73</v>
      </c>
      <c r="R27" s="409">
        <f>Додаток2!R28</f>
        <v>1.88</v>
      </c>
      <c r="S27" s="639">
        <f>Додаток2!S28</f>
        <v>5.13</v>
      </c>
      <c r="T27" s="373">
        <f>Додаток2!T28</f>
        <v>6.28</v>
      </c>
      <c r="U27" s="373">
        <f>[3]Додаток2!U28</f>
        <v>0</v>
      </c>
      <c r="V27" s="645">
        <f>[3]Додаток2!V28</f>
        <v>0</v>
      </c>
      <c r="W27" s="1032">
        <f>Додаток2!W28</f>
        <v>12.96</v>
      </c>
      <c r="X27" s="409">
        <f>Додаток2!X28</f>
        <v>1.88</v>
      </c>
      <c r="Y27" s="407">
        <f>Додаток2!Y28</f>
        <v>0.05</v>
      </c>
      <c r="Z27" s="373">
        <f>Додаток2!Z28</f>
        <v>7.0000000000000007E-2</v>
      </c>
      <c r="AA27" s="645">
        <f>[3]Додаток2!AA28</f>
        <v>0</v>
      </c>
      <c r="AB27" s="1032">
        <f>Додаток2!AB28</f>
        <v>0.12</v>
      </c>
      <c r="AC27" s="409">
        <f>Додаток2!AC28</f>
        <v>1.88</v>
      </c>
      <c r="AD27" s="993">
        <f t="shared" si="0"/>
        <v>0</v>
      </c>
      <c r="AE27" s="287"/>
      <c r="AF27" s="28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/>
      <c r="BO27" s="287"/>
      <c r="BP27" s="287"/>
      <c r="BQ27" s="287"/>
      <c r="BR27" s="287"/>
      <c r="BS27" s="287"/>
      <c r="BT27" s="287"/>
      <c r="BU27" s="287"/>
      <c r="BV27" s="287"/>
      <c r="BW27" s="287"/>
      <c r="BX27" s="287"/>
      <c r="BY27" s="287"/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/>
      <c r="CK27" s="287"/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</row>
    <row r="28" spans="1:109" s="290" customFormat="1" ht="21.75" customHeight="1">
      <c r="A28" s="683" t="s">
        <v>48</v>
      </c>
      <c r="B28" s="893" t="s">
        <v>447</v>
      </c>
      <c r="C28" s="407">
        <f>Додаток2!C29+Додаток3!C24+Додаток4!C23</f>
        <v>624.33000000000004</v>
      </c>
      <c r="D28" s="373">
        <f>Додаток2!D29+Додаток3!D24+Додаток4!D23</f>
        <v>1249.23</v>
      </c>
      <c r="E28" s="373">
        <f>Додаток2!E29+Додаток3!E24+Додаток4!E23</f>
        <v>622.29</v>
      </c>
      <c r="F28" s="409">
        <f>Додаток2!F29+Додаток3!F24+Додаток4!F23</f>
        <v>2.63</v>
      </c>
      <c r="G28" s="407">
        <f>Додаток2!G29+Додаток3!G24+Додаток4!G23</f>
        <v>420.59</v>
      </c>
      <c r="H28" s="373">
        <f>Додаток2!H29+Додаток3!H24+Додаток4!H23</f>
        <v>914.26</v>
      </c>
      <c r="I28" s="373">
        <v>505.83</v>
      </c>
      <c r="J28" s="373">
        <v>2.46</v>
      </c>
      <c r="K28" s="373">
        <f>Додаток2!K29+Додаток3!K24+Додаток4!K23</f>
        <v>534.34</v>
      </c>
      <c r="L28" s="409">
        <f>Додаток2!L29+Додаток3!L24+Додаток4!L23</f>
        <v>2.63</v>
      </c>
      <c r="M28" s="407">
        <f>Додаток2!M29+Додаток3!M24+Додаток4!M23</f>
        <v>68.290000000000006</v>
      </c>
      <c r="N28" s="373">
        <f>Додаток2!N29+Додаток3!N24+Додаток4!N23</f>
        <v>134.57</v>
      </c>
      <c r="O28" s="373">
        <v>67.12</v>
      </c>
      <c r="P28" s="645">
        <v>2.46</v>
      </c>
      <c r="Q28" s="1032">
        <f>Додаток2!Q29+Додаток3!Q24+Додаток4!Q23</f>
        <v>69.63</v>
      </c>
      <c r="R28" s="409">
        <f>Додаток2!R29+Додаток3!R24+Додаток4!R23</f>
        <v>2.63</v>
      </c>
      <c r="S28" s="639">
        <f>Додаток2!S29+Додаток3!S24+Додаток4!S23</f>
        <v>11.16</v>
      </c>
      <c r="T28" s="373">
        <f>Додаток2!T29+Додаток3!T24+Додаток4!T23</f>
        <v>20.68</v>
      </c>
      <c r="U28" s="373">
        <v>22.02</v>
      </c>
      <c r="V28" s="645">
        <v>2.46</v>
      </c>
      <c r="W28" s="1032">
        <f>Додаток2!W29+Додаток3!W24+Додаток4!W23</f>
        <v>18.149999999999999</v>
      </c>
      <c r="X28" s="409">
        <f>Додаток2!X29+Додаток3!X24+Додаток4!X23</f>
        <v>2.63</v>
      </c>
      <c r="Y28" s="407">
        <f>Додаток2!Y29+Додаток3!Y24+Додаток4!Y23</f>
        <v>0.12</v>
      </c>
      <c r="Z28" s="373">
        <f>Додаток2!Z29+Додаток3!Z24+Додаток4!Z23</f>
        <v>0.24</v>
      </c>
      <c r="AA28" s="645">
        <v>2.46</v>
      </c>
      <c r="AB28" s="1032">
        <f>Додаток2!AB29+Додаток3!AB24+Додаток4!AB23</f>
        <v>0.17</v>
      </c>
      <c r="AC28" s="409">
        <f>Додаток2!AC29+Додаток3!AC24+Додаток4!AC23</f>
        <v>2.63</v>
      </c>
      <c r="AD28" s="993">
        <f t="shared" si="0"/>
        <v>0</v>
      </c>
    </row>
    <row r="29" spans="1:109" s="288" customFormat="1" ht="21.95" customHeight="1">
      <c r="A29" s="682" t="s">
        <v>50</v>
      </c>
      <c r="B29" s="891" t="s">
        <v>51</v>
      </c>
      <c r="C29" s="777">
        <f>Додаток2!C30+Додаток3!C25+Додаток4!C24</f>
        <v>691.06</v>
      </c>
      <c r="D29" s="372">
        <f ca="1">Додаток2!D30+Додаток3!D25+Додаток4!D24</f>
        <v>779.98</v>
      </c>
      <c r="E29" s="372">
        <f>Додаток2!E30+Додаток3!E25+Додаток4!E24</f>
        <v>802.87</v>
      </c>
      <c r="F29" s="405">
        <f>E29/$E$69*1000</f>
        <v>3.39</v>
      </c>
      <c r="G29" s="863">
        <f ca="1">Додаток2!G30+Додаток3!G25+Додаток4!G24</f>
        <v>26038.639999999999</v>
      </c>
      <c r="H29" s="816">
        <f ca="1">Додаток2!H30+Додаток3!H25+Додаток4!H24</f>
        <v>572.39</v>
      </c>
      <c r="I29" s="755">
        <v>273.04000000000002</v>
      </c>
      <c r="J29" s="755">
        <v>1.34</v>
      </c>
      <c r="K29" s="372">
        <f>Додаток2!K30+Додаток3!K25+Додаток4!K24</f>
        <v>689.4</v>
      </c>
      <c r="L29" s="405">
        <f>K29/$K$69*1000</f>
        <v>3.39</v>
      </c>
      <c r="M29" s="863">
        <f ca="1">Додаток2!M30+Додаток3!M25+Додаток4!M24</f>
        <v>4228.1000000000004</v>
      </c>
      <c r="N29" s="816">
        <f ca="1">Додаток2!N30+Додаток3!N25+Додаток4!N24</f>
        <v>84.25</v>
      </c>
      <c r="O29" s="755">
        <f>O37+O41</f>
        <v>42.23</v>
      </c>
      <c r="P29" s="878">
        <v>1.34</v>
      </c>
      <c r="Q29" s="1031">
        <f>Додаток2!Q30+Додаток3!Q25+Додаток4!Q24</f>
        <v>89.86</v>
      </c>
      <c r="R29" s="405">
        <f>Q29/$Q$69*1000</f>
        <v>3.39</v>
      </c>
      <c r="S29" s="1024">
        <f ca="1">Додаток2!S30+Додаток3!S25+Додаток4!S24</f>
        <v>690.59</v>
      </c>
      <c r="T29" s="816">
        <f ca="1">Додаток2!T30+Додаток3!T25+Додаток4!T24</f>
        <v>12.95</v>
      </c>
      <c r="U29" s="755">
        <v>11.89</v>
      </c>
      <c r="V29" s="878">
        <v>1.34</v>
      </c>
      <c r="W29" s="1031">
        <f>Додаток2!W30+Додаток3!W25+Додаток4!W24</f>
        <v>23.4</v>
      </c>
      <c r="X29" s="405">
        <f>W29/$W$69*1000</f>
        <v>3.39</v>
      </c>
      <c r="Y29" s="863">
        <f ca="1">Додаток2!Y30+Додаток3!Y25+Додаток4!Y24</f>
        <v>7.06</v>
      </c>
      <c r="Z29" s="816">
        <f ca="1">Додаток2!Z30+Додаток3!Z25+Додаток4!Z24</f>
        <v>0.15</v>
      </c>
      <c r="AA29" s="878">
        <v>1.34</v>
      </c>
      <c r="AB29" s="1031">
        <f>Додаток2!AB30+Додаток3!AB25+Додаток4!AB24</f>
        <v>0.21</v>
      </c>
      <c r="AC29" s="763">
        <f>Додаток2!AC30+Додаток3!AC25+Додаток4!AC24</f>
        <v>3.37</v>
      </c>
      <c r="AD29" s="993">
        <f t="shared" si="0"/>
        <v>0</v>
      </c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87"/>
      <c r="CC29" s="287"/>
      <c r="CD29" s="287"/>
      <c r="CE29" s="287"/>
      <c r="CF29" s="287"/>
      <c r="CG29" s="287"/>
      <c r="CH29" s="287"/>
      <c r="CI29" s="287"/>
      <c r="CJ29" s="287"/>
      <c r="CK29" s="287"/>
      <c r="CL29" s="287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</row>
    <row r="30" spans="1:109" s="288" customFormat="1" ht="24" customHeight="1">
      <c r="A30" s="683" t="s">
        <v>52</v>
      </c>
      <c r="B30" s="897" t="s">
        <v>424</v>
      </c>
      <c r="C30" s="407">
        <f>Додаток2!C31+Додаток3!C26+Додаток4!C25</f>
        <v>451.89</v>
      </c>
      <c r="D30" s="373">
        <f>Додаток2!D31+Додаток3!D26+Додаток4!D25</f>
        <v>551.64</v>
      </c>
      <c r="E30" s="373">
        <f>Додаток2!E31+Додаток3!E26+Додаток4!E25</f>
        <v>453.01</v>
      </c>
      <c r="F30" s="409">
        <f>Додаток2!F31+Додаток3!F26+Додаток4!F25</f>
        <v>1.91</v>
      </c>
      <c r="G30" s="407">
        <f>Додаток2!G31+Додаток3!G26+Додаток4!G25</f>
        <v>282.64999999999998</v>
      </c>
      <c r="H30" s="373">
        <f>Додаток2!H31+Додаток3!H26+Додаток4!H25</f>
        <v>355.01</v>
      </c>
      <c r="I30" s="373">
        <f>Додаток2!I31+Додаток3!I26+Додаток4!I25</f>
        <v>0</v>
      </c>
      <c r="J30" s="373">
        <v>0</v>
      </c>
      <c r="K30" s="373">
        <f>Додаток2!K31+Додаток3!K26+Додаток4!K25</f>
        <v>388.99</v>
      </c>
      <c r="L30" s="409">
        <f>Додаток2!L31+Додаток3!L26+Додаток4!L25</f>
        <v>1.91</v>
      </c>
      <c r="M30" s="407">
        <f>Додаток2!M31+Додаток3!M26+Додаток4!M25</f>
        <v>45.9</v>
      </c>
      <c r="N30" s="373">
        <f>Додаток2!N31+Додаток3!N26+Додаток4!N25</f>
        <v>52.25</v>
      </c>
      <c r="O30" s="373">
        <v>0</v>
      </c>
      <c r="P30" s="645">
        <v>0</v>
      </c>
      <c r="Q30" s="1032">
        <f>Додаток2!Q31+Додаток3!Q26+Додаток4!Q25</f>
        <v>50.7</v>
      </c>
      <c r="R30" s="409">
        <f>Додаток2!R31+Додаток3!R26+Додаток4!R25</f>
        <v>1.91</v>
      </c>
      <c r="S30" s="639">
        <f>Додаток2!S31+Додаток3!S26+Додаток4!S25</f>
        <v>7.49</v>
      </c>
      <c r="T30" s="373">
        <f>Додаток2!T31+Додаток3!T26+Додаток4!T25</f>
        <v>8.02</v>
      </c>
      <c r="U30" s="373">
        <v>0</v>
      </c>
      <c r="V30" s="645">
        <f>[3]Додаток2!V31+[3]Додаток3!V26+[3]Додаток4!V25</f>
        <v>0</v>
      </c>
      <c r="W30" s="1032">
        <f>Додаток2!W31+Додаток3!W26+Додаток4!W25</f>
        <v>13.21</v>
      </c>
      <c r="X30" s="409">
        <f>Додаток2!X31+Додаток3!X26+Додаток4!X25</f>
        <v>1.91</v>
      </c>
      <c r="Y30" s="407">
        <f>Додаток2!Y31+Додаток3!Y26+Додаток4!Y25</f>
        <v>7.0000000000000007E-2</v>
      </c>
      <c r="Z30" s="373">
        <f>Додаток2!Z31+Додаток3!Z26+Додаток4!Z25</f>
        <v>0.09</v>
      </c>
      <c r="AA30" s="645">
        <f>[3]Додаток2!AA31+[3]Додаток3!AA26+[3]Додаток4!AA25</f>
        <v>0</v>
      </c>
      <c r="AB30" s="1032">
        <f>Додаток2!AB31+Додаток3!AB26+Додаток4!AB25</f>
        <v>0.11</v>
      </c>
      <c r="AC30" s="409">
        <f>Додаток2!AC31+Додаток3!AC26+Додаток4!AC25</f>
        <v>1.91</v>
      </c>
      <c r="AD30" s="993">
        <f t="shared" si="0"/>
        <v>0</v>
      </c>
      <c r="AE30" s="412"/>
      <c r="AF30" s="44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/>
      <c r="BD30" s="287"/>
      <c r="BE30" s="287"/>
      <c r="BF30" s="287"/>
      <c r="BG30" s="287"/>
      <c r="BH30" s="287"/>
      <c r="BI30" s="287"/>
      <c r="BJ30" s="287"/>
      <c r="BK30" s="287"/>
      <c r="BL30" s="287"/>
      <c r="BM30" s="287"/>
      <c r="BN30" s="287"/>
      <c r="BO30" s="287"/>
      <c r="BP30" s="287"/>
      <c r="BQ30" s="287"/>
      <c r="BR30" s="287"/>
      <c r="BS30" s="287"/>
      <c r="BT30" s="287"/>
      <c r="BU30" s="287"/>
      <c r="BV30" s="287"/>
      <c r="BW30" s="287"/>
      <c r="BX30" s="287"/>
      <c r="BY30" s="287"/>
      <c r="BZ30" s="287"/>
      <c r="CA30" s="287"/>
      <c r="CB30" s="287"/>
      <c r="CC30" s="287"/>
      <c r="CD30" s="287"/>
      <c r="CE30" s="287"/>
      <c r="CF30" s="287"/>
      <c r="CG30" s="287"/>
      <c r="CH30" s="287"/>
      <c r="CI30" s="287"/>
      <c r="CJ30" s="287"/>
      <c r="CK30" s="287"/>
      <c r="CL30" s="287"/>
      <c r="CM30" s="287"/>
      <c r="CN30" s="287"/>
      <c r="CO30" s="287"/>
      <c r="CP30" s="287"/>
      <c r="CQ30" s="287"/>
      <c r="CR30" s="287"/>
      <c r="CS30" s="287"/>
      <c r="CT30" s="287"/>
      <c r="CU30" s="287"/>
      <c r="CV30" s="287"/>
      <c r="CW30" s="287"/>
      <c r="CX30" s="287"/>
      <c r="CY30" s="287"/>
      <c r="CZ30" s="287"/>
      <c r="DA30" s="287"/>
      <c r="DB30" s="287"/>
      <c r="DC30" s="287"/>
      <c r="DD30" s="287"/>
      <c r="DE30" s="287"/>
    </row>
    <row r="31" spans="1:109" s="288" customFormat="1" ht="21.95" customHeight="1">
      <c r="A31" s="683" t="s">
        <v>346</v>
      </c>
      <c r="B31" s="893" t="s">
        <v>212</v>
      </c>
      <c r="C31" s="407">
        <f>Додаток2!C32+Додаток3!C27+Додаток4!C26</f>
        <v>446.59</v>
      </c>
      <c r="D31" s="373">
        <f>Додаток2!D32+Додаток3!D27+Додаток4!D26</f>
        <v>548.69000000000005</v>
      </c>
      <c r="E31" s="373">
        <f>Додаток2!E32+Додаток3!E27+Додаток4!E26</f>
        <v>451.42</v>
      </c>
      <c r="F31" s="409">
        <f>Додаток2!F32+Додаток3!F27+Додаток4!F26</f>
        <v>1.91</v>
      </c>
      <c r="G31" s="407">
        <f>Додаток2!G32+Додаток3!G27+Додаток4!G26</f>
        <v>279.05</v>
      </c>
      <c r="H31" s="373">
        <f>Додаток2!H32+Додаток3!H27+Додаток4!H26</f>
        <v>353.09</v>
      </c>
      <c r="I31" s="373">
        <f>Додаток2!I32+Додаток3!I27+Додаток4!I26</f>
        <v>0</v>
      </c>
      <c r="J31" s="373">
        <v>0</v>
      </c>
      <c r="K31" s="373">
        <f>Додаток2!K32+Додаток3!K27+Додаток4!K26</f>
        <v>387.62</v>
      </c>
      <c r="L31" s="409">
        <f>Додаток2!L32+Додаток3!L27+Додаток4!L26</f>
        <v>1.91</v>
      </c>
      <c r="M31" s="407">
        <f>Додаток2!M32+Додаток3!M27+Додаток4!M26</f>
        <v>45.31</v>
      </c>
      <c r="N31" s="373">
        <f>Додаток2!N32+Додаток3!N27+Додаток4!N26</f>
        <v>51.97</v>
      </c>
      <c r="O31" s="373">
        <f>[3]Додаток2!O32+[3]Додаток3!O27+[3]Додаток4!O26</f>
        <v>0</v>
      </c>
      <c r="P31" s="645">
        <v>0</v>
      </c>
      <c r="Q31" s="1032">
        <f>Додаток2!Q32+Додаток3!Q27+Додаток4!Q26</f>
        <v>50.52</v>
      </c>
      <c r="R31" s="409">
        <f>Додаток2!R32+Додаток3!R27+Додаток4!R26</f>
        <v>1.91</v>
      </c>
      <c r="S31" s="639">
        <f>Додаток2!S32+Додаток3!S27+Додаток4!S26</f>
        <v>7.4</v>
      </c>
      <c r="T31" s="373">
        <f>Додаток2!T32+Додаток3!T27+Додаток4!T26</f>
        <v>7.98</v>
      </c>
      <c r="U31" s="373">
        <f>[3]Додаток2!U32+[3]Додаток3!U27+[3]Додаток4!U26</f>
        <v>0</v>
      </c>
      <c r="V31" s="645">
        <f>[3]Додаток2!V32+[3]Додаток3!V27+[3]Додаток4!V26</f>
        <v>0</v>
      </c>
      <c r="W31" s="1032">
        <f>Додаток2!W32+Додаток3!W27+Додаток4!W26</f>
        <v>13.17</v>
      </c>
      <c r="X31" s="409">
        <f>Додаток2!X32+Додаток3!X27+Додаток4!X26</f>
        <v>1.91</v>
      </c>
      <c r="Y31" s="407">
        <f>Додаток2!Y32+Додаток3!Y27+Додаток4!Y26</f>
        <v>7.0000000000000007E-2</v>
      </c>
      <c r="Z31" s="373">
        <f>Додаток2!Z32+Додаток3!Z27+Додаток4!Z26</f>
        <v>0.09</v>
      </c>
      <c r="AA31" s="645">
        <f>[3]Додаток2!AA32+[3]Додаток3!AA27+[3]Додаток4!AA26</f>
        <v>0</v>
      </c>
      <c r="AB31" s="1032">
        <f>Додаток2!AB32+Додаток3!AB27+Додаток4!AB26</f>
        <v>0.11</v>
      </c>
      <c r="AC31" s="409">
        <f>Додаток2!AC32+Додаток3!AC27+Додаток4!AC26</f>
        <v>1.91</v>
      </c>
      <c r="AD31" s="993">
        <f t="shared" si="0"/>
        <v>0</v>
      </c>
      <c r="AE31" s="412"/>
      <c r="AF31" s="44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/>
      <c r="BG31" s="287"/>
      <c r="BH31" s="287"/>
      <c r="BI31" s="287"/>
      <c r="BJ31" s="287"/>
      <c r="BK31" s="287"/>
      <c r="BL31" s="287"/>
      <c r="BM31" s="287"/>
      <c r="BN31" s="287"/>
      <c r="BO31" s="287"/>
      <c r="BP31" s="287"/>
      <c r="BQ31" s="287"/>
      <c r="BR31" s="287"/>
      <c r="BS31" s="287"/>
      <c r="BT31" s="287"/>
      <c r="BU31" s="287"/>
      <c r="BV31" s="287"/>
      <c r="BW31" s="287"/>
      <c r="BX31" s="287"/>
      <c r="BY31" s="287"/>
      <c r="BZ31" s="287"/>
      <c r="CA31" s="287"/>
      <c r="CB31" s="287"/>
      <c r="CC31" s="287"/>
      <c r="CD31" s="287"/>
      <c r="CE31" s="287"/>
      <c r="CF31" s="287"/>
      <c r="CG31" s="287"/>
      <c r="CH31" s="287"/>
      <c r="CI31" s="287"/>
      <c r="CJ31" s="287"/>
      <c r="CK31" s="287"/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/>
      <c r="DB31" s="287"/>
      <c r="DC31" s="287"/>
      <c r="DD31" s="287"/>
      <c r="DE31" s="287"/>
    </row>
    <row r="32" spans="1:109" s="288" customFormat="1" ht="21.95" customHeight="1">
      <c r="A32" s="683" t="s">
        <v>347</v>
      </c>
      <c r="B32" s="893" t="s">
        <v>422</v>
      </c>
      <c r="C32" s="407">
        <f>Додаток2!C33+Додаток3!C28+Додаток4!C27</f>
        <v>0.21</v>
      </c>
      <c r="D32" s="373">
        <f>Додаток2!D33+Додаток3!D28+Додаток4!D27</f>
        <v>0.22</v>
      </c>
      <c r="E32" s="373">
        <f>Додаток2!E33+Додаток3!E28+Додаток4!E27</f>
        <v>0.7</v>
      </c>
      <c r="F32" s="409">
        <f>Додаток2!F33+Додаток3!F28+Додаток4!F27</f>
        <v>0</v>
      </c>
      <c r="G32" s="407">
        <f>Додаток2!G33+Додаток3!G28+Додаток4!G27</f>
        <v>0.13</v>
      </c>
      <c r="H32" s="373">
        <f>Додаток2!H33+Додаток3!H28+Додаток4!H27</f>
        <v>0.14000000000000001</v>
      </c>
      <c r="I32" s="373">
        <f>Додаток2!I33+Додаток3!I28+Додаток4!I27</f>
        <v>0</v>
      </c>
      <c r="J32" s="373">
        <v>0</v>
      </c>
      <c r="K32" s="373">
        <f>Додаток2!K33+Додаток3!K28+Додаток4!K27</f>
        <v>0.6</v>
      </c>
      <c r="L32" s="409">
        <f>Додаток2!L33+Додаток3!L28+Додаток4!L27</f>
        <v>0</v>
      </c>
      <c r="M32" s="407">
        <f>Додаток2!M33+Додаток3!M28+Додаток4!M27</f>
        <v>0.02</v>
      </c>
      <c r="N32" s="373">
        <f>Додаток2!N33+Додаток3!N28+Додаток4!N27</f>
        <v>0.02</v>
      </c>
      <c r="O32" s="373">
        <f>[3]Додаток2!O33+[3]Додаток3!O28+[3]Додаток4!O27</f>
        <v>0</v>
      </c>
      <c r="P32" s="645">
        <v>0</v>
      </c>
      <c r="Q32" s="1032">
        <f>Додаток2!Q33+Додаток3!Q28+Додаток4!Q27</f>
        <v>0.08</v>
      </c>
      <c r="R32" s="409">
        <f>Додаток2!R33+Додаток3!R28+Додаток4!R27</f>
        <v>0</v>
      </c>
      <c r="S32" s="639">
        <f>Додаток2!S33+Додаток3!S28+Додаток4!S27</f>
        <v>0</v>
      </c>
      <c r="T32" s="373">
        <f>Додаток2!T33+Додаток3!T28+Додаток4!T27</f>
        <v>0</v>
      </c>
      <c r="U32" s="373">
        <f>[3]Додаток2!U33+[3]Додаток3!U28+[3]Додаток4!U27</f>
        <v>0</v>
      </c>
      <c r="V32" s="645">
        <f>[3]Додаток2!V33+[3]Додаток3!V28+[3]Додаток4!V27</f>
        <v>0</v>
      </c>
      <c r="W32" s="1032">
        <f>Додаток2!W33+Додаток3!W28+Додаток4!W27</f>
        <v>0.02</v>
      </c>
      <c r="X32" s="409">
        <f>Додаток2!X33+Додаток3!X28+Додаток4!X27</f>
        <v>0</v>
      </c>
      <c r="Y32" s="407">
        <f>Додаток2!Y33+Додаток3!Y28+Додаток4!Y27</f>
        <v>0</v>
      </c>
      <c r="Z32" s="373">
        <f>Додаток2!Z33+Додаток3!Z28+Додаток4!Z27</f>
        <v>0</v>
      </c>
      <c r="AA32" s="645">
        <f>[3]Додаток2!AA33+[3]Додаток3!AA28+[3]Додаток4!AA27</f>
        <v>0</v>
      </c>
      <c r="AB32" s="1032">
        <f>Додаток2!AB33+Додаток3!AB28+Додаток4!AB27</f>
        <v>0</v>
      </c>
      <c r="AC32" s="409">
        <f>Додаток2!AC33+Додаток3!AC28+Додаток4!AC27</f>
        <v>0</v>
      </c>
      <c r="AD32" s="993">
        <f t="shared" si="0"/>
        <v>0</v>
      </c>
      <c r="AE32" s="412"/>
      <c r="AF32" s="44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/>
      <c r="BO32" s="287"/>
      <c r="BP32" s="287"/>
      <c r="BQ32" s="287"/>
      <c r="BR32" s="287"/>
      <c r="BS32" s="287"/>
      <c r="BT32" s="287"/>
      <c r="BU32" s="287"/>
      <c r="BV32" s="287"/>
      <c r="BW32" s="287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7"/>
      <c r="CL32" s="287"/>
      <c r="CM32" s="287"/>
      <c r="CN32" s="287"/>
      <c r="CO32" s="287"/>
      <c r="CP32" s="287"/>
      <c r="CQ32" s="287"/>
      <c r="CR32" s="287"/>
      <c r="CS32" s="287"/>
      <c r="CT32" s="287"/>
      <c r="CU32" s="287"/>
      <c r="CV32" s="287"/>
      <c r="CW32" s="287"/>
      <c r="CX32" s="287"/>
      <c r="CY32" s="287"/>
      <c r="CZ32" s="287"/>
      <c r="DA32" s="287"/>
      <c r="DB32" s="287"/>
      <c r="DC32" s="287"/>
      <c r="DD32" s="287"/>
      <c r="DE32" s="287"/>
    </row>
    <row r="33" spans="1:109" s="288" customFormat="1" ht="21.95" customHeight="1">
      <c r="A33" s="683" t="s">
        <v>425</v>
      </c>
      <c r="B33" s="893" t="s">
        <v>450</v>
      </c>
      <c r="C33" s="407">
        <f>Додаток2!C34+Додаток3!C29+Додаток4!C28</f>
        <v>5.09</v>
      </c>
      <c r="D33" s="373">
        <f>Додаток2!D34+Додаток3!D29+Додаток4!D28</f>
        <v>2.73</v>
      </c>
      <c r="E33" s="373">
        <f>Додаток2!E34+Додаток3!E29+Додаток4!E28</f>
        <v>0.89</v>
      </c>
      <c r="F33" s="409">
        <f>Додаток2!F34+Додаток3!F29+Додаток4!F28</f>
        <v>0</v>
      </c>
      <c r="G33" s="407">
        <f>Додаток2!G34+Додаток3!G29+Додаток4!G28</f>
        <v>3.47</v>
      </c>
      <c r="H33" s="373">
        <f>Додаток2!H34+Додаток3!H29+Додаток4!H28</f>
        <v>1.78</v>
      </c>
      <c r="I33" s="373">
        <f>Додаток2!I34+Додаток3!I29+Додаток4!I28</f>
        <v>0</v>
      </c>
      <c r="J33" s="373">
        <f>Додаток2!J34+Додаток3!J29+Додаток4!J28</f>
        <v>0</v>
      </c>
      <c r="K33" s="373">
        <f>Додаток2!K34+Додаток3!K29+Додаток4!K28</f>
        <v>0.77</v>
      </c>
      <c r="L33" s="409">
        <f>Додаток2!L34+Додаток3!L29+Додаток4!L28</f>
        <v>0</v>
      </c>
      <c r="M33" s="407">
        <f>Додаток2!M34+Додаток3!M29+Додаток4!M28</f>
        <v>0.56999999999999995</v>
      </c>
      <c r="N33" s="373">
        <f>Додаток2!N34+Додаток3!N29+Додаток4!N28</f>
        <v>0.26</v>
      </c>
      <c r="O33" s="373">
        <f>[3]Додаток2!O34+[3]Додаток3!O29+[3]Додаток4!O28</f>
        <v>0</v>
      </c>
      <c r="P33" s="645">
        <f>Додаток2!P34+Додаток3!P29+Додаток4!P28</f>
        <v>0</v>
      </c>
      <c r="Q33" s="1032">
        <f>Додаток2!Q34+Додаток3!Q29+Додаток4!Q28</f>
        <v>0.1</v>
      </c>
      <c r="R33" s="409">
        <f>Додаток2!R34+Додаток3!R29+Додаток4!R28</f>
        <v>0</v>
      </c>
      <c r="S33" s="639">
        <f>Додаток2!S34+Додаток3!S29+Додаток4!S28</f>
        <v>0.09</v>
      </c>
      <c r="T33" s="373">
        <f>Додаток2!T34+Додаток3!T29+Додаток4!T28</f>
        <v>0.04</v>
      </c>
      <c r="U33" s="373">
        <f>[3]Додаток2!U34+[3]Додаток3!U29+[3]Додаток4!U28</f>
        <v>0</v>
      </c>
      <c r="V33" s="645">
        <f>[3]Додаток2!V34+[3]Додаток3!V29+[3]Додаток4!V28</f>
        <v>0</v>
      </c>
      <c r="W33" s="1032">
        <f>Додаток2!W34+Додаток3!W29+Додаток4!W28</f>
        <v>0.02</v>
      </c>
      <c r="X33" s="409">
        <f>Додаток2!X34+Додаток3!X29+Додаток4!X28</f>
        <v>0</v>
      </c>
      <c r="Y33" s="407">
        <f>Додаток2!Y34+Додаток3!Y29+Додаток4!Y28</f>
        <v>0</v>
      </c>
      <c r="Z33" s="373">
        <f>Додаток2!Z34+Додаток3!Z29+Додаток4!Z28</f>
        <v>0</v>
      </c>
      <c r="AA33" s="645">
        <f>[3]Додаток2!AA34+[3]Додаток3!AA29+[3]Додаток4!AA28</f>
        <v>0</v>
      </c>
      <c r="AB33" s="1032">
        <f>Додаток2!AB34+Додаток3!AB29+Додаток4!AB28</f>
        <v>0</v>
      </c>
      <c r="AC33" s="409">
        <f>Додаток2!AC34+Додаток3!AC29+Додаток4!AC28</f>
        <v>0</v>
      </c>
      <c r="AD33" s="993">
        <f t="shared" si="0"/>
        <v>0</v>
      </c>
      <c r="AE33" s="412"/>
      <c r="AF33" s="44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287"/>
      <c r="BC33" s="287"/>
      <c r="BD33" s="287"/>
      <c r="BE33" s="287"/>
      <c r="BF33" s="287"/>
      <c r="BG33" s="287"/>
      <c r="BH33" s="287"/>
      <c r="BI33" s="287"/>
      <c r="BJ33" s="287"/>
      <c r="BK33" s="287"/>
      <c r="BL33" s="287"/>
      <c r="BM33" s="287"/>
      <c r="BN33" s="287"/>
      <c r="BO33" s="287"/>
      <c r="BP33" s="287"/>
      <c r="BQ33" s="287"/>
      <c r="BR33" s="287"/>
      <c r="BS33" s="287"/>
      <c r="BT33" s="287"/>
      <c r="BU33" s="287"/>
      <c r="BV33" s="287"/>
      <c r="BW33" s="287"/>
      <c r="BX33" s="287"/>
      <c r="BY33" s="287"/>
      <c r="BZ33" s="287"/>
      <c r="CA33" s="287"/>
      <c r="CB33" s="287"/>
      <c r="CC33" s="287"/>
      <c r="CD33" s="287"/>
      <c r="CE33" s="287"/>
      <c r="CF33" s="287"/>
      <c r="CG33" s="287"/>
      <c r="CH33" s="287"/>
      <c r="CI33" s="287"/>
      <c r="CJ33" s="287"/>
      <c r="CK33" s="287"/>
      <c r="CL33" s="287"/>
      <c r="CM33" s="287"/>
      <c r="CN33" s="287"/>
      <c r="CO33" s="287"/>
      <c r="CP33" s="287"/>
      <c r="CQ33" s="287"/>
      <c r="CR33" s="287"/>
      <c r="CS33" s="287"/>
      <c r="CT33" s="287"/>
      <c r="CU33" s="287"/>
      <c r="CV33" s="287"/>
      <c r="CW33" s="287"/>
      <c r="CX33" s="287"/>
      <c r="CY33" s="287"/>
      <c r="CZ33" s="287"/>
      <c r="DA33" s="287"/>
      <c r="DB33" s="287"/>
      <c r="DC33" s="287"/>
      <c r="DD33" s="287"/>
      <c r="DE33" s="287"/>
    </row>
    <row r="34" spans="1:109" s="288" customFormat="1" ht="21.95" customHeight="1">
      <c r="A34" s="683"/>
      <c r="B34" s="896" t="s">
        <v>440</v>
      </c>
      <c r="C34" s="407">
        <f>Додаток2!C35</f>
        <v>0.2</v>
      </c>
      <c r="D34" s="373">
        <f>Додаток2!D35</f>
        <v>0</v>
      </c>
      <c r="E34" s="373">
        <f>Додаток2!E35</f>
        <v>0.1</v>
      </c>
      <c r="F34" s="409">
        <f>Додаток2!F35</f>
        <v>0</v>
      </c>
      <c r="G34" s="407">
        <f>Додаток2!G35</f>
        <v>0.17</v>
      </c>
      <c r="H34" s="373">
        <f>Додаток2!H35</f>
        <v>0</v>
      </c>
      <c r="I34" s="373">
        <f>Додаток2!I35</f>
        <v>0</v>
      </c>
      <c r="J34" s="373">
        <f>Додаток2!J35</f>
        <v>0</v>
      </c>
      <c r="K34" s="373">
        <f>Додаток2!K35</f>
        <v>0.09</v>
      </c>
      <c r="L34" s="409">
        <f>Додаток2!L35</f>
        <v>0</v>
      </c>
      <c r="M34" s="407">
        <f>Додаток2!M35</f>
        <v>0.03</v>
      </c>
      <c r="N34" s="373">
        <f>Додаток2!N35</f>
        <v>0</v>
      </c>
      <c r="O34" s="373">
        <f>[3]Додаток2!O35</f>
        <v>0</v>
      </c>
      <c r="P34" s="645">
        <f>Додаток2!P35</f>
        <v>0</v>
      </c>
      <c r="Q34" s="1032">
        <f>Додаток2!Q35</f>
        <v>0.01</v>
      </c>
      <c r="R34" s="409">
        <f>Додаток2!R35</f>
        <v>0</v>
      </c>
      <c r="S34" s="639">
        <f>Додаток2!S35</f>
        <v>0</v>
      </c>
      <c r="T34" s="373">
        <f>Додаток2!T35</f>
        <v>0</v>
      </c>
      <c r="U34" s="373">
        <f>[3]Додаток2!U35</f>
        <v>0</v>
      </c>
      <c r="V34" s="645">
        <f>[3]Додаток2!V35</f>
        <v>0</v>
      </c>
      <c r="W34" s="1032">
        <f>Додаток2!W35</f>
        <v>0</v>
      </c>
      <c r="X34" s="409">
        <f>Додаток2!X35</f>
        <v>0</v>
      </c>
      <c r="Y34" s="407">
        <f>Додаток2!Y35</f>
        <v>0</v>
      </c>
      <c r="Z34" s="373">
        <f>Додаток2!Z35</f>
        <v>0</v>
      </c>
      <c r="AA34" s="645">
        <f>[3]Додаток2!AA35</f>
        <v>0</v>
      </c>
      <c r="AB34" s="1032">
        <f>Додаток2!AB35</f>
        <v>0</v>
      </c>
      <c r="AC34" s="409">
        <f>Додаток2!AC35</f>
        <v>0</v>
      </c>
      <c r="AD34" s="993">
        <f t="shared" si="0"/>
        <v>0</v>
      </c>
      <c r="AE34" s="412"/>
      <c r="AF34" s="44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/>
      <c r="BO34" s="287"/>
      <c r="BP34" s="287"/>
      <c r="BQ34" s="287"/>
      <c r="BR34" s="287"/>
      <c r="BS34" s="287"/>
      <c r="BT34" s="287"/>
      <c r="BU34" s="287"/>
      <c r="BV34" s="287"/>
      <c r="BW34" s="287"/>
      <c r="BX34" s="287"/>
      <c r="BY34" s="287"/>
      <c r="BZ34" s="287"/>
      <c r="CA34" s="287"/>
      <c r="CB34" s="287"/>
      <c r="CC34" s="287"/>
      <c r="CD34" s="287"/>
      <c r="CE34" s="287"/>
      <c r="CF34" s="287"/>
      <c r="CG34" s="287"/>
      <c r="CH34" s="287"/>
      <c r="CI34" s="287"/>
      <c r="CJ34" s="287"/>
      <c r="CK34" s="287"/>
      <c r="CL34" s="287"/>
      <c r="CM34" s="287"/>
      <c r="CN34" s="287"/>
      <c r="CO34" s="287"/>
      <c r="CP34" s="287"/>
      <c r="CQ34" s="287"/>
      <c r="CR34" s="287"/>
      <c r="CS34" s="287"/>
      <c r="CT34" s="287"/>
      <c r="CU34" s="287"/>
      <c r="CV34" s="287"/>
      <c r="CW34" s="287"/>
      <c r="CX34" s="287"/>
      <c r="CY34" s="287"/>
      <c r="CZ34" s="287"/>
      <c r="DA34" s="287"/>
      <c r="DB34" s="287"/>
      <c r="DC34" s="287"/>
      <c r="DD34" s="287"/>
      <c r="DE34" s="287"/>
    </row>
    <row r="35" spans="1:109" s="288" customFormat="1" ht="33.75" customHeight="1">
      <c r="A35" s="683"/>
      <c r="B35" s="895" t="s">
        <v>444</v>
      </c>
      <c r="C35" s="407">
        <f>Додаток2!C36</f>
        <v>1.1599999999999999</v>
      </c>
      <c r="D35" s="373">
        <f>Додаток2!D36</f>
        <v>0</v>
      </c>
      <c r="E35" s="373">
        <f>Додаток2!E36</f>
        <v>0.79</v>
      </c>
      <c r="F35" s="409">
        <f>Додаток2!F36</f>
        <v>0</v>
      </c>
      <c r="G35" s="407">
        <f>Додаток2!G36</f>
        <v>0.98</v>
      </c>
      <c r="H35" s="373">
        <f>Додаток2!H36</f>
        <v>0</v>
      </c>
      <c r="I35" s="373">
        <f>Додаток2!I36</f>
        <v>0</v>
      </c>
      <c r="J35" s="373">
        <f>Додаток2!J36</f>
        <v>0</v>
      </c>
      <c r="K35" s="373">
        <f>Додаток2!K36</f>
        <v>0.68</v>
      </c>
      <c r="L35" s="409">
        <f>Додаток2!L36</f>
        <v>0</v>
      </c>
      <c r="M35" s="407">
        <f>Додаток2!M36</f>
        <v>0.16</v>
      </c>
      <c r="N35" s="373">
        <f>Додаток2!N36</f>
        <v>0</v>
      </c>
      <c r="O35" s="373">
        <f>[3]Додаток2!O36</f>
        <v>0</v>
      </c>
      <c r="P35" s="645">
        <f>Додаток2!P36</f>
        <v>0</v>
      </c>
      <c r="Q35" s="1032">
        <f>Додаток2!Q36</f>
        <v>0.09</v>
      </c>
      <c r="R35" s="409">
        <f>Додаток2!R36</f>
        <v>0</v>
      </c>
      <c r="S35" s="639">
        <f>Додаток2!S36</f>
        <v>0.03</v>
      </c>
      <c r="T35" s="373">
        <f>Додаток2!T36</f>
        <v>0</v>
      </c>
      <c r="U35" s="373">
        <f>[3]Додаток2!U36</f>
        <v>0</v>
      </c>
      <c r="V35" s="645">
        <f>[3]Додаток2!V36</f>
        <v>0</v>
      </c>
      <c r="W35" s="1032">
        <f>Додаток2!W36</f>
        <v>0.02</v>
      </c>
      <c r="X35" s="409">
        <f>Додаток2!X36</f>
        <v>0</v>
      </c>
      <c r="Y35" s="407">
        <f>Додаток2!Y36</f>
        <v>0</v>
      </c>
      <c r="Z35" s="373">
        <f>Додаток2!Z36</f>
        <v>0</v>
      </c>
      <c r="AA35" s="645">
        <f>[3]Додаток2!AA36</f>
        <v>0</v>
      </c>
      <c r="AB35" s="1032">
        <f>Додаток2!AB36</f>
        <v>0</v>
      </c>
      <c r="AC35" s="409">
        <f>Додаток2!AC36</f>
        <v>0</v>
      </c>
      <c r="AD35" s="993">
        <f t="shared" si="0"/>
        <v>0</v>
      </c>
      <c r="AE35" s="412"/>
      <c r="AF35" s="44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  <c r="BO35" s="287"/>
      <c r="BP35" s="287"/>
      <c r="BQ35" s="287"/>
      <c r="BR35" s="287"/>
      <c r="BS35" s="287"/>
      <c r="BT35" s="287"/>
      <c r="BU35" s="287"/>
      <c r="BV35" s="287"/>
      <c r="BW35" s="287"/>
      <c r="BX35" s="287"/>
      <c r="BY35" s="287"/>
      <c r="BZ35" s="287"/>
      <c r="CA35" s="287"/>
      <c r="CB35" s="287"/>
      <c r="CC35" s="287"/>
      <c r="CD35" s="287"/>
      <c r="CE35" s="287"/>
      <c r="CF35" s="287"/>
      <c r="CG35" s="287"/>
      <c r="CH35" s="287"/>
      <c r="CI35" s="287"/>
      <c r="CJ35" s="287"/>
      <c r="CK35" s="287"/>
      <c r="CL35" s="287"/>
      <c r="CM35" s="287"/>
      <c r="CN35" s="287"/>
      <c r="CO35" s="287"/>
      <c r="CP35" s="287"/>
      <c r="CQ35" s="287"/>
      <c r="CR35" s="287"/>
      <c r="CS35" s="287"/>
      <c r="CT35" s="287"/>
      <c r="CU35" s="287"/>
      <c r="CV35" s="287"/>
      <c r="CW35" s="287"/>
      <c r="CX35" s="287"/>
      <c r="CY35" s="287"/>
      <c r="CZ35" s="287"/>
      <c r="DA35" s="287"/>
      <c r="DB35" s="287"/>
      <c r="DC35" s="287"/>
      <c r="DD35" s="287"/>
      <c r="DE35" s="287"/>
    </row>
    <row r="36" spans="1:109" s="288" customFormat="1" ht="21.95" hidden="1" customHeight="1">
      <c r="A36" s="683"/>
      <c r="B36" s="895" t="s">
        <v>310</v>
      </c>
      <c r="C36" s="762">
        <f>Додаток2!C22+Додаток3!C29+Додаток4!C28</f>
        <v>10.11</v>
      </c>
      <c r="D36" s="373">
        <f>Додаток2!D22+Додаток3!D29+Додаток4!D28</f>
        <v>10.050000000000001</v>
      </c>
      <c r="E36" s="373">
        <f>Додаток2!E22+Додаток3!E29+Додаток4!E28</f>
        <v>10.5</v>
      </c>
      <c r="F36" s="778">
        <f>Додаток2!F37+Додаток3!F29+Додаток4!F28</f>
        <v>0.01</v>
      </c>
      <c r="G36" s="762">
        <f>Додаток2!G37+Додаток3!G29+Додаток4!G28</f>
        <v>7.69</v>
      </c>
      <c r="H36" s="373">
        <f>Додаток2!H37+Додаток3!H29+Додаток4!H28</f>
        <v>8.0399999999999991</v>
      </c>
      <c r="I36" s="373">
        <f>Додаток2!I37+Додаток3!I29+Додаток4!I28</f>
        <v>0</v>
      </c>
      <c r="J36" s="373">
        <f>Додаток2!J37+Додаток3!J29+Додаток4!J28</f>
        <v>0</v>
      </c>
      <c r="K36" s="373">
        <f>Додаток2!K37+Додаток3!K29+Додаток4!K28</f>
        <v>1.63</v>
      </c>
      <c r="L36" s="778">
        <f>Додаток2!L37+Додаток3!L29+Додаток4!L28</f>
        <v>0.01</v>
      </c>
      <c r="M36" s="762">
        <f>Додаток2!M37+Додаток3!M29+Додаток4!M28</f>
        <v>1.25</v>
      </c>
      <c r="N36" s="373">
        <f>Додаток2!N37+Додаток3!N29+Додаток4!N28</f>
        <v>1.18</v>
      </c>
      <c r="O36" s="373">
        <f>[3]Додаток2!O37+[3]Додаток3!O29+[3]Додаток4!O28</f>
        <v>0</v>
      </c>
      <c r="P36" s="645">
        <f>Додаток2!P37+Додаток3!P29+Додаток4!P28</f>
        <v>0</v>
      </c>
      <c r="Q36" s="1032">
        <f>Додаток2!Q37+Додаток3!Q29+Додаток4!Q28</f>
        <v>0.21</v>
      </c>
      <c r="R36" s="409">
        <f>Додаток2!R37+Додаток3!R29+Додаток4!R28</f>
        <v>0.01</v>
      </c>
      <c r="S36" s="752">
        <f>Додаток2!S37+Додаток3!S29+Додаток4!S28</f>
        <v>0.2</v>
      </c>
      <c r="T36" s="373">
        <f>Додаток2!T37+Додаток3!T29+Додаток4!T28</f>
        <v>0.18</v>
      </c>
      <c r="U36" s="373">
        <f>[3]Додаток2!U37+[3]Додаток3!U29+[3]Додаток4!U28</f>
        <v>0</v>
      </c>
      <c r="V36" s="645">
        <f>[3]Додаток2!V37+[3]Додаток3!V29+[3]Додаток4!V28</f>
        <v>0</v>
      </c>
      <c r="W36" s="1032">
        <f>Додаток2!W37+Додаток3!W29+Додаток4!W28</f>
        <v>0.06</v>
      </c>
      <c r="X36" s="409">
        <f>Додаток2!X37+Додаток3!X29+Додаток4!X28</f>
        <v>0.01</v>
      </c>
      <c r="Y36" s="762">
        <f>Додаток2!Y37+Додаток3!Y29+Додаток4!Y28</f>
        <v>0</v>
      </c>
      <c r="Z36" s="373">
        <f>Додаток2!Z37+Додаток3!Z29+Додаток4!Z28</f>
        <v>0</v>
      </c>
      <c r="AA36" s="645">
        <f>[3]Додаток2!AA37+[3]Додаток3!AA29+[3]Додаток4!AA28</f>
        <v>0</v>
      </c>
      <c r="AB36" s="1032">
        <f>Додаток2!AB37+Додаток3!AB29+Додаток4!AB28</f>
        <v>0</v>
      </c>
      <c r="AC36" s="409">
        <f>Додаток2!AC37+Додаток3!AC29+Додаток4!AC28</f>
        <v>0.01</v>
      </c>
      <c r="AD36" s="993">
        <f t="shared" si="0"/>
        <v>-8.6</v>
      </c>
      <c r="AE36" s="412"/>
      <c r="AF36" s="44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  <c r="BO36" s="287"/>
      <c r="BP36" s="287"/>
      <c r="BQ36" s="287"/>
      <c r="BR36" s="287"/>
      <c r="BS36" s="287"/>
      <c r="BT36" s="287"/>
      <c r="BU36" s="287"/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/>
      <c r="DE36" s="287"/>
    </row>
    <row r="37" spans="1:109" s="288" customFormat="1" ht="32.25" customHeight="1">
      <c r="A37" s="683" t="s">
        <v>54</v>
      </c>
      <c r="B37" s="897" t="s">
        <v>345</v>
      </c>
      <c r="C37" s="407">
        <f>Додаток2!C38+Додаток3!C30+Додаток4!C29</f>
        <v>207.7</v>
      </c>
      <c r="D37" s="373">
        <f>Додаток2!D38+Додаток3!D30+Додаток4!D29</f>
        <v>195.94</v>
      </c>
      <c r="E37" s="373">
        <f>Додаток2!E38+Додаток3!E30+Додаток4!E29</f>
        <v>317.98</v>
      </c>
      <c r="F37" s="409">
        <f>Додаток2!F38+Додаток3!F30+Додаток4!F29</f>
        <v>1.33</v>
      </c>
      <c r="G37" s="407">
        <f>Додаток2!G38+Додаток3!G30+Додаток4!G29</f>
        <v>190.08</v>
      </c>
      <c r="H37" s="373">
        <f>Додаток2!H38+Додаток3!H30+Додаток4!H29</f>
        <v>196.02</v>
      </c>
      <c r="I37" s="373">
        <v>247.31</v>
      </c>
      <c r="J37" s="373">
        <v>1.21</v>
      </c>
      <c r="K37" s="373">
        <f>Додаток2!K38+Додаток3!K30+Додаток4!K29</f>
        <v>273.02999999999997</v>
      </c>
      <c r="L37" s="409">
        <f>Додаток2!L38+Додаток3!L30+Додаток4!L29</f>
        <v>1.33</v>
      </c>
      <c r="M37" s="407">
        <f>Додаток2!M38+Додаток3!M30+Додаток4!M29</f>
        <v>30.87</v>
      </c>
      <c r="N37" s="373">
        <f>Додаток2!N38+Додаток3!N30+Додаток4!N29</f>
        <v>28.86</v>
      </c>
      <c r="O37" s="373">
        <v>38.82</v>
      </c>
      <c r="P37" s="645">
        <v>1.21</v>
      </c>
      <c r="Q37" s="1032">
        <f>Додаток2!Q38+Додаток3!Q30+Додаток4!Q29</f>
        <v>35.590000000000003</v>
      </c>
      <c r="R37" s="409">
        <f>Додаток2!R38+Додаток3!R30+Додаток4!R29</f>
        <v>1.33</v>
      </c>
      <c r="S37" s="639">
        <f>Додаток2!S38+Додаток3!S30+Додаток4!S29</f>
        <v>5.04</v>
      </c>
      <c r="T37" s="373">
        <f>Додаток2!T38+Додаток3!T30+Додаток4!T29</f>
        <v>4.4400000000000004</v>
      </c>
      <c r="U37" s="373">
        <v>10.77</v>
      </c>
      <c r="V37" s="645">
        <v>1.21</v>
      </c>
      <c r="W37" s="1032">
        <f>Додаток2!W38+Додаток3!W30+Додаток4!W29</f>
        <v>9.27</v>
      </c>
      <c r="X37" s="409">
        <f>Додаток2!X38+Додаток3!X30+Додаток4!X29</f>
        <v>1.33</v>
      </c>
      <c r="Y37" s="407">
        <f>Додаток2!Y38+Додаток3!Y30+Додаток4!Y29</f>
        <v>0.05</v>
      </c>
      <c r="Z37" s="373">
        <f>Додаток2!Z38+Додаток3!Z30+Додаток4!Z29</f>
        <v>0.05</v>
      </c>
      <c r="AA37" s="645">
        <v>1.21</v>
      </c>
      <c r="AB37" s="1032">
        <f>Додаток2!AB38+Додаток3!AB30+Додаток4!AB29</f>
        <v>0.09</v>
      </c>
      <c r="AC37" s="409">
        <f>Додаток2!AC38+Додаток3!AC30+Додаток4!AC29</f>
        <v>1.33</v>
      </c>
      <c r="AD37" s="993">
        <f t="shared" si="0"/>
        <v>0</v>
      </c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87"/>
      <c r="CC37" s="287"/>
      <c r="CD37" s="287"/>
      <c r="CE37" s="287"/>
      <c r="CF37" s="287"/>
      <c r="CG37" s="287"/>
      <c r="CH37" s="287"/>
      <c r="CI37" s="287"/>
      <c r="CJ37" s="287"/>
      <c r="CK37" s="287"/>
      <c r="CL37" s="287"/>
      <c r="CM37" s="287"/>
      <c r="CN37" s="287"/>
      <c r="CO37" s="287"/>
      <c r="CP37" s="287"/>
      <c r="CQ37" s="287"/>
      <c r="CR37" s="287"/>
      <c r="CS37" s="287"/>
      <c r="CT37" s="287"/>
      <c r="CU37" s="287"/>
      <c r="CV37" s="287"/>
      <c r="CW37" s="287"/>
      <c r="CX37" s="287"/>
      <c r="CY37" s="287"/>
    </row>
    <row r="38" spans="1:109" s="288" customFormat="1" ht="21.95" customHeight="1">
      <c r="A38" s="683" t="s">
        <v>430</v>
      </c>
      <c r="B38" s="893" t="s">
        <v>53</v>
      </c>
      <c r="C38" s="407">
        <f>Додаток2!C39+Додаток3!C31+Додаток4!C30</f>
        <v>151.91</v>
      </c>
      <c r="D38" s="373">
        <f>Додаток2!D39+Додаток3!D31+Додаток4!D30</f>
        <v>160.61000000000001</v>
      </c>
      <c r="E38" s="373">
        <f>Додаток2!E39+Додаток3!E31+Додаток4!E30</f>
        <v>260.64</v>
      </c>
      <c r="F38" s="409">
        <f>Додаток2!F39+Додаток3!F31+Додаток4!F30</f>
        <v>1.0900000000000001</v>
      </c>
      <c r="G38" s="407">
        <f>Додаток2!G39+Додаток3!G31+Додаток4!G30</f>
        <v>143.43</v>
      </c>
      <c r="H38" s="373">
        <f>Додаток2!H39+Додаток3!H31+Додаток4!H30</f>
        <v>160.66999999999999</v>
      </c>
      <c r="I38" s="373">
        <v>202.71</v>
      </c>
      <c r="J38" s="373">
        <v>0.99</v>
      </c>
      <c r="K38" s="373">
        <f>Додаток2!K39+Додаток3!K31+Додаток4!K30</f>
        <v>223.79</v>
      </c>
      <c r="L38" s="409">
        <f>Додаток2!L39+Додаток3!L31+Додаток4!L30</f>
        <v>1.0900000000000001</v>
      </c>
      <c r="M38" s="407">
        <f>Додаток2!M39+Додаток3!M31+Додаток4!M30</f>
        <v>23.29</v>
      </c>
      <c r="N38" s="373">
        <f>Додаток2!N39+Додаток3!N31+Додаток4!N30</f>
        <v>23.65</v>
      </c>
      <c r="O38" s="373">
        <v>26.9</v>
      </c>
      <c r="P38" s="645">
        <v>0.99</v>
      </c>
      <c r="Q38" s="1032">
        <f>Додаток2!Q39+Додаток3!Q31+Додаток4!Q30</f>
        <v>29.17</v>
      </c>
      <c r="R38" s="409">
        <f>Додаток2!R39+Додаток3!R31+Додаток4!R30</f>
        <v>1.0900000000000001</v>
      </c>
      <c r="S38" s="639">
        <f>Додаток2!S39+Додаток3!S31+Додаток4!S30</f>
        <v>3.81</v>
      </c>
      <c r="T38" s="373">
        <f>Додаток2!T39+Додаток3!T31+Додаток4!T30</f>
        <v>3.64</v>
      </c>
      <c r="U38" s="373">
        <v>8.83</v>
      </c>
      <c r="V38" s="645">
        <v>0.99</v>
      </c>
      <c r="W38" s="1032">
        <f>Додаток2!W39+Додаток3!W31+Додаток4!W30</f>
        <v>7.61</v>
      </c>
      <c r="X38" s="409">
        <f>Додаток2!X39+Додаток3!X31+Додаток4!X30</f>
        <v>1.0900000000000001</v>
      </c>
      <c r="Y38" s="407">
        <f>Додаток2!Y39+Додаток3!Y31+Додаток4!Y30</f>
        <v>0.04</v>
      </c>
      <c r="Z38" s="373">
        <f>Додаток2!Z39+Додаток3!Z31+Додаток4!Z30</f>
        <v>0.04</v>
      </c>
      <c r="AA38" s="645">
        <v>0.99</v>
      </c>
      <c r="AB38" s="1032">
        <f>Додаток2!AB39+Додаток3!AB31+Додаток4!AB30</f>
        <v>7.0000000000000007E-2</v>
      </c>
      <c r="AC38" s="409">
        <f>Додаток2!AC39+Додаток3!AC31+Додаток4!AC30</f>
        <v>1.0900000000000001</v>
      </c>
      <c r="AD38" s="993">
        <f t="shared" si="0"/>
        <v>0</v>
      </c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287"/>
      <c r="BU38" s="287"/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</row>
    <row r="39" spans="1:109" s="290" customFormat="1" ht="21.95" customHeight="1">
      <c r="A39" s="683" t="s">
        <v>431</v>
      </c>
      <c r="B39" s="893" t="s">
        <v>45</v>
      </c>
      <c r="C39" s="407">
        <f>Додаток2!C40+Додаток3!C32+Додаток4!C31</f>
        <v>55.79</v>
      </c>
      <c r="D39" s="373">
        <f>Додаток2!D40+Додаток3!D32+Додаток4!D31</f>
        <v>35.33</v>
      </c>
      <c r="E39" s="373">
        <f>Додаток2!E40+Додаток3!E32+Додаток4!E31</f>
        <v>57.34</v>
      </c>
      <c r="F39" s="409">
        <f>Додаток2!F40+Додаток3!F32+Додаток4!F31</f>
        <v>0.24</v>
      </c>
      <c r="G39" s="407">
        <f>Додаток2!G40+Додаток3!G32+Додаток4!G31</f>
        <v>46.65</v>
      </c>
      <c r="H39" s="373">
        <f>Додаток2!H40+Додаток3!H32+Додаток4!H31</f>
        <v>35.35</v>
      </c>
      <c r="I39" s="373">
        <v>44.6</v>
      </c>
      <c r="J39" s="373">
        <v>0.22</v>
      </c>
      <c r="K39" s="373">
        <f>Додаток2!K40+Додаток3!K32+Додаток4!K31</f>
        <v>49.24</v>
      </c>
      <c r="L39" s="409">
        <f>Додаток2!L40+Додаток3!L32+Додаток4!L31</f>
        <v>0.24</v>
      </c>
      <c r="M39" s="407">
        <f>Додаток2!M40+Додаток3!M32+Додаток4!M31</f>
        <v>7.58</v>
      </c>
      <c r="N39" s="373">
        <f>Додаток2!N40+Додаток3!N32+Додаток4!N31</f>
        <v>5.21</v>
      </c>
      <c r="O39" s="373">
        <v>5.92</v>
      </c>
      <c r="P39" s="645">
        <v>0.22</v>
      </c>
      <c r="Q39" s="1032">
        <f>Додаток2!Q40+Додаток3!Q32+Додаток4!Q31</f>
        <v>6.42</v>
      </c>
      <c r="R39" s="409">
        <f>Додаток2!R40+Додаток3!R32+Додаток4!R31</f>
        <v>0.24</v>
      </c>
      <c r="S39" s="639">
        <f>Додаток2!S40+Додаток3!S32+Додаток4!S31</f>
        <v>1.23</v>
      </c>
      <c r="T39" s="373">
        <f>Додаток2!T40+Додаток3!T32+Додаток4!T31</f>
        <v>0.8</v>
      </c>
      <c r="U39" s="373">
        <v>1.94</v>
      </c>
      <c r="V39" s="645">
        <v>0.22</v>
      </c>
      <c r="W39" s="1032">
        <f>Додаток2!W40+Додаток3!W32+Додаток4!W31</f>
        <v>1.66</v>
      </c>
      <c r="X39" s="409">
        <f>Додаток2!X40+Додаток3!X32+Додаток4!X31</f>
        <v>0.24</v>
      </c>
      <c r="Y39" s="407">
        <f>Додаток2!Y40+Додаток3!Y32+Додаток4!Y31</f>
        <v>0.01</v>
      </c>
      <c r="Z39" s="373">
        <f>Додаток2!Z40+Додаток3!Z32+Додаток4!Z31</f>
        <v>0.01</v>
      </c>
      <c r="AA39" s="645">
        <v>0.22</v>
      </c>
      <c r="AB39" s="1032">
        <f>Додаток2!AB40+Додаток3!AB32+Додаток4!AB31</f>
        <v>0.02</v>
      </c>
      <c r="AC39" s="409">
        <f>Додаток2!AC40+Додаток3!AC32+Додаток4!AC31</f>
        <v>0.24</v>
      </c>
      <c r="AD39" s="993">
        <f t="shared" si="0"/>
        <v>0</v>
      </c>
    </row>
    <row r="40" spans="1:109" s="290" customFormat="1" ht="21.95" customHeight="1">
      <c r="A40" s="683" t="s">
        <v>55</v>
      </c>
      <c r="B40" s="897" t="s">
        <v>47</v>
      </c>
      <c r="C40" s="407">
        <f>Додаток2!C41+Додаток3!C33+Додаток4!C42</f>
        <v>21.59</v>
      </c>
      <c r="D40" s="373">
        <f>Додаток2!D41+Додаток3!D33+Додаток4!D42</f>
        <v>22.51</v>
      </c>
      <c r="E40" s="373">
        <f>Додаток2!E41+Додаток3!E33+Додаток4!E42</f>
        <v>22.39</v>
      </c>
      <c r="F40" s="409">
        <f>Додаток2!F41+Додаток3!F33+Додаток4!F42</f>
        <v>0.09</v>
      </c>
      <c r="G40" s="407">
        <f>Додаток2!G41+Додаток3!G33+Додаток4!G42</f>
        <v>14.45</v>
      </c>
      <c r="H40" s="373">
        <f>Додаток2!H41+Додаток3!H33+Додаток4!H42</f>
        <v>15.24</v>
      </c>
      <c r="I40" s="373">
        <f>Додаток2!I41+Додаток3!I33+Додаток4!I42</f>
        <v>0</v>
      </c>
      <c r="J40" s="373">
        <f>Додаток2!J41+Додаток3!J33+Додаток4!J42</f>
        <v>0</v>
      </c>
      <c r="K40" s="373">
        <f>Додаток2!K41+Додаток3!K33+Додаток4!K42</f>
        <v>19.23</v>
      </c>
      <c r="L40" s="409">
        <f>Додаток2!L41+Додаток3!L33+Додаток4!L42</f>
        <v>0.09</v>
      </c>
      <c r="M40" s="407">
        <f>Додаток2!M41+Додаток3!M33+Додаток4!M42</f>
        <v>2.35</v>
      </c>
      <c r="N40" s="373">
        <f>Додаток2!N41+Додаток3!N33+Додаток4!N42</f>
        <v>2.2400000000000002</v>
      </c>
      <c r="O40" s="373">
        <f>[3]Додаток2!O41+[3]Додаток3!O33+[3]Додаток4!O42</f>
        <v>0</v>
      </c>
      <c r="P40" s="645">
        <f>Додаток2!P41+Додаток3!P33+Додаток4!P42</f>
        <v>0</v>
      </c>
      <c r="Q40" s="1032">
        <f>Додаток2!Q41+Додаток3!Q33+Додаток4!Q42</f>
        <v>2.5099999999999998</v>
      </c>
      <c r="R40" s="409">
        <f>Додаток2!R41+Додаток3!R33+Додаток4!R42</f>
        <v>0.09</v>
      </c>
      <c r="S40" s="639">
        <f>Додаток2!S41+Додаток3!S33+Додаток4!S42</f>
        <v>0.38</v>
      </c>
      <c r="T40" s="373">
        <f>Додаток2!T41+Додаток3!T33+Додаток4!T42</f>
        <v>0.35</v>
      </c>
      <c r="U40" s="373">
        <v>0</v>
      </c>
      <c r="V40" s="645">
        <f>[3]Додаток2!V41+[3]Додаток3!V33+[3]Додаток4!V42</f>
        <v>0</v>
      </c>
      <c r="W40" s="1032">
        <f>Додаток2!W41+Додаток3!W33+Додаток4!W42</f>
        <v>0.64</v>
      </c>
      <c r="X40" s="409">
        <f>Додаток2!X41+Додаток3!X33+Додаток4!X42</f>
        <v>0.09</v>
      </c>
      <c r="Y40" s="407">
        <f>Додаток2!Y41+Додаток3!Y33+Додаток4!Y42</f>
        <v>0</v>
      </c>
      <c r="Z40" s="373">
        <f>Додаток2!Z41+Додаток3!Z33+Додаток4!Z42</f>
        <v>0</v>
      </c>
      <c r="AA40" s="645">
        <f>[3]Додаток2!AA41+[3]Додаток3!AA33+[3]Додаток4!AA42</f>
        <v>0</v>
      </c>
      <c r="AB40" s="1032">
        <f>Додаток2!AB41+Додаток3!AB33+Додаток4!AB42</f>
        <v>0.01</v>
      </c>
      <c r="AC40" s="409">
        <f>Додаток2!AC41+Додаток3!AC33+Додаток4!AC42</f>
        <v>0.09</v>
      </c>
      <c r="AD40" s="993">
        <f t="shared" si="0"/>
        <v>0</v>
      </c>
      <c r="AE40" s="412"/>
      <c r="AF40" s="412"/>
      <c r="AG40" s="287"/>
      <c r="AH40" s="287"/>
      <c r="AI40" s="287"/>
    </row>
    <row r="41" spans="1:109" s="288" customFormat="1" ht="21.95" customHeight="1">
      <c r="A41" s="683" t="s">
        <v>432</v>
      </c>
      <c r="B41" s="897" t="s">
        <v>447</v>
      </c>
      <c r="C41" s="997">
        <f ca="1">Додаток2!C42+Додаток3!C34+Додаток4!C33</f>
        <v>0</v>
      </c>
      <c r="D41" s="373">
        <f ca="1">Додаток2!D42+Додаток3!D34+Додаток4!D33</f>
        <v>9.65</v>
      </c>
      <c r="E41" s="373">
        <f>Додаток2!E42+Додаток3!E34+Додаток4!E33</f>
        <v>9.49</v>
      </c>
      <c r="F41" s="408">
        <f>E41/$E$69*1000</f>
        <v>0.04</v>
      </c>
      <c r="G41" s="407">
        <f ca="1">Додаток2!G42+Додаток3!G34+Додаток4!G33</f>
        <v>2423.63</v>
      </c>
      <c r="H41" s="373">
        <f ca="1">Додаток2!H42+Додаток3!H34+Додаток4!H33</f>
        <v>5.94</v>
      </c>
      <c r="I41" s="373">
        <v>25.72</v>
      </c>
      <c r="J41" s="373">
        <v>0.12</v>
      </c>
      <c r="K41" s="373">
        <f>Додаток2!K42+Додаток3!K34+Додаток4!K33</f>
        <v>8.15</v>
      </c>
      <c r="L41" s="408">
        <f>K41/$K$69*1000</f>
        <v>0.04</v>
      </c>
      <c r="M41" s="407">
        <f ca="1">Додаток2!M42+Додаток3!M34+Додаток4!M33</f>
        <v>393.54</v>
      </c>
      <c r="N41" s="373">
        <f ca="1">Додаток2!N42+Додаток3!N34+Додаток4!N33</f>
        <v>0.87</v>
      </c>
      <c r="O41" s="373">
        <v>3.41</v>
      </c>
      <c r="P41" s="645">
        <v>0.12</v>
      </c>
      <c r="Q41" s="1032">
        <f>Додаток2!Q42+Додаток3!Q34+Додаток4!Q33</f>
        <v>1.06</v>
      </c>
      <c r="R41" s="408">
        <f>Q41/$Q$69*1000</f>
        <v>0.04</v>
      </c>
      <c r="S41" s="639">
        <f ca="1">Додаток2!S42+Додаток3!S34+Додаток4!S33</f>
        <v>64.28</v>
      </c>
      <c r="T41" s="373">
        <f ca="1">Додаток2!T42+Додаток3!T34+Додаток4!T33</f>
        <v>0.13</v>
      </c>
      <c r="U41" s="373">
        <v>1.1200000000000001</v>
      </c>
      <c r="V41" s="645">
        <v>0.12</v>
      </c>
      <c r="W41" s="1032">
        <f>Додаток2!W42+Додаток3!W34+Додаток4!W33</f>
        <v>0.28000000000000003</v>
      </c>
      <c r="X41" s="408">
        <f>W41/$W$69*1000</f>
        <v>0.04</v>
      </c>
      <c r="Y41" s="407">
        <f ca="1">Додаток2!Y42+Додаток3!Y34+Додаток4!Y33</f>
        <v>0.66</v>
      </c>
      <c r="Z41" s="373">
        <f ca="1">Додаток2!Z42+Додаток3!Z34+Додаток4!Z33</f>
        <v>0</v>
      </c>
      <c r="AA41" s="645">
        <v>0.12</v>
      </c>
      <c r="AB41" s="1032">
        <f>Додаток2!AB42+Додаток3!AB34+Додаток4!AB33</f>
        <v>0</v>
      </c>
      <c r="AC41" s="409">
        <f>Додаток2!AC42+Додаток3!AC34+Додаток4!AC43</f>
        <v>0.04</v>
      </c>
      <c r="AD41" s="993">
        <f t="shared" si="0"/>
        <v>0</v>
      </c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/>
      <c r="BG41" s="287"/>
      <c r="BH41" s="287"/>
      <c r="BI41" s="287"/>
      <c r="BJ41" s="287"/>
      <c r="BK41" s="287"/>
      <c r="BL41" s="287"/>
      <c r="BM41" s="287"/>
      <c r="BN41" s="287"/>
      <c r="BO41" s="287"/>
      <c r="BP41" s="287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  <c r="CF41" s="287"/>
      <c r="CG41" s="287"/>
      <c r="CH41" s="287"/>
      <c r="CI41" s="287"/>
      <c r="CJ41" s="287"/>
      <c r="CK41" s="287"/>
      <c r="CL41" s="287"/>
      <c r="CM41" s="287"/>
      <c r="CN41" s="287"/>
      <c r="CO41" s="287"/>
      <c r="CP41" s="287"/>
      <c r="CQ41" s="287"/>
      <c r="CR41" s="287"/>
      <c r="CS41" s="287"/>
      <c r="CT41" s="287"/>
      <c r="CU41" s="287"/>
      <c r="CV41" s="287"/>
      <c r="CW41" s="287"/>
      <c r="CX41" s="287"/>
      <c r="CY41" s="287"/>
    </row>
    <row r="42" spans="1:109" s="288" customFormat="1" ht="21.95" customHeight="1">
      <c r="A42" s="682" t="s">
        <v>57</v>
      </c>
      <c r="B42" s="891" t="s">
        <v>58</v>
      </c>
      <c r="C42" s="777">
        <f>Додаток2!C43+Додаток3!C35+Додаток4!C34</f>
        <v>3098.98</v>
      </c>
      <c r="D42" s="372">
        <f>Додаток2!D43+Додаток3!D35+Додаток4!D34</f>
        <v>3325.01</v>
      </c>
      <c r="E42" s="372">
        <f>Додаток2!E43+Додаток3!E35+Додаток4!E34</f>
        <v>4766.79</v>
      </c>
      <c r="F42" s="763">
        <f>Додаток2!F43+Додаток3!F35+Додаток4!F34</f>
        <v>20.11</v>
      </c>
      <c r="G42" s="777">
        <f>Додаток2!G43+Додаток3!G35+Додаток4!G34</f>
        <v>2775.32</v>
      </c>
      <c r="H42" s="372">
        <f>Додаток2!H43+Додаток3!H35+Додаток4!H34</f>
        <v>3081.32</v>
      </c>
      <c r="I42" s="372">
        <v>3213.42</v>
      </c>
      <c r="J42" s="372">
        <v>15.65</v>
      </c>
      <c r="K42" s="372">
        <f>Додаток2!K43+Додаток3!K35+Додаток4!K34</f>
        <v>4093.1</v>
      </c>
      <c r="L42" s="763">
        <f>Додаток2!L43+Додаток3!L35+Додаток4!L34</f>
        <v>20.11</v>
      </c>
      <c r="M42" s="777">
        <f>Додаток2!M43+Додаток3!M35+Додаток4!M34</f>
        <v>450.67</v>
      </c>
      <c r="N42" s="372">
        <f>Додаток2!N43+Додаток3!N35+Додаток4!N34</f>
        <v>453.58</v>
      </c>
      <c r="O42" s="372">
        <f>[3]Додаток2!O43+[3]Додаток3!O35+[3]Додаток4!O34</f>
        <v>426.42</v>
      </c>
      <c r="P42" s="879">
        <v>15.65</v>
      </c>
      <c r="Q42" s="1031">
        <f>Додаток2!Q43+Додаток3!Q35+Додаток4!Q34</f>
        <v>533.41</v>
      </c>
      <c r="R42" s="763">
        <f>Додаток2!R43+Додаток3!R35+Додаток4!R34</f>
        <v>20.11</v>
      </c>
      <c r="S42" s="638">
        <f>Додаток2!S43+Додаток3!S35+Додаток4!S34</f>
        <v>73.59</v>
      </c>
      <c r="T42" s="372">
        <f>Додаток2!T43+Додаток3!T35+Додаток4!T34</f>
        <v>68.05</v>
      </c>
      <c r="U42" s="372">
        <v>139.91</v>
      </c>
      <c r="V42" s="879">
        <v>15.65</v>
      </c>
      <c r="W42" s="1031">
        <f>Додаток2!W43+Додаток3!W35+Додаток4!W34</f>
        <v>139.04</v>
      </c>
      <c r="X42" s="763">
        <f>Додаток2!X43+Додаток3!X35+Додаток4!X34</f>
        <v>20.11</v>
      </c>
      <c r="Y42" s="777">
        <f>Додаток2!Y43+Додаток3!Y35+Додаток4!Y34</f>
        <v>0.75</v>
      </c>
      <c r="Z42" s="372">
        <f>Додаток2!Z43+Додаток3!Z35+Додаток4!Z34</f>
        <v>0.82</v>
      </c>
      <c r="AA42" s="879">
        <v>15.65</v>
      </c>
      <c r="AB42" s="1031">
        <f>Додаток2!AB43+Додаток3!AB35+Додаток4!AB34</f>
        <v>1.24</v>
      </c>
      <c r="AC42" s="763">
        <f>Додаток2!AC43+Додаток3!AC35+Додаток4!AC34</f>
        <v>20.11</v>
      </c>
      <c r="AD42" s="993">
        <f t="shared" si="0"/>
        <v>0</v>
      </c>
      <c r="AE42" s="287"/>
      <c r="AF42" s="287"/>
      <c r="AG42" s="287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287"/>
      <c r="CK42" s="287"/>
      <c r="CL42" s="287"/>
      <c r="CM42" s="287"/>
      <c r="CN42" s="287"/>
      <c r="CO42" s="287"/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</row>
    <row r="43" spans="1:109" s="288" customFormat="1" ht="21.95" customHeight="1">
      <c r="A43" s="683" t="s">
        <v>59</v>
      </c>
      <c r="B43" s="897" t="s">
        <v>424</v>
      </c>
      <c r="C43" s="407">
        <f>Додаток2!C44+Додаток3!C36+Додаток4!C35</f>
        <v>196.98</v>
      </c>
      <c r="D43" s="373">
        <f>Додаток2!D44+Додаток3!D36+Додаток4!D35</f>
        <v>260.27</v>
      </c>
      <c r="E43" s="373">
        <f>Додаток2!E44+Додаток3!E36+Додаток4!E35</f>
        <v>234.36</v>
      </c>
      <c r="F43" s="409">
        <f>Додаток2!F44+Додаток3!F36+Додаток4!F35</f>
        <v>0.98</v>
      </c>
      <c r="G43" s="407">
        <f>Додаток2!G44+Додаток3!G36+Додаток4!G35</f>
        <v>133.32</v>
      </c>
      <c r="H43" s="373">
        <f>Додаток2!H44+Додаток3!H36+Додаток4!H35</f>
        <v>187.23</v>
      </c>
      <c r="I43" s="373">
        <f>Додаток2!I44+Додаток3!I36+Додаток4!I35</f>
        <v>0</v>
      </c>
      <c r="J43" s="373">
        <f>Додаток2!J44+Додаток3!J36+Додаток4!J35</f>
        <v>0</v>
      </c>
      <c r="K43" s="373">
        <f>Додаток2!K44+Додаток3!K36+Додаток4!K35</f>
        <v>201.23</v>
      </c>
      <c r="L43" s="409">
        <f>Додаток2!L44+Додаток3!L36+Додаток4!L35</f>
        <v>0.98</v>
      </c>
      <c r="M43" s="407">
        <f>Додаток2!M44+Додаток3!M36+Додаток4!M35</f>
        <v>21.66</v>
      </c>
      <c r="N43" s="373">
        <f>Додаток2!N44+Додаток3!N36+Додаток4!N35</f>
        <v>27.57</v>
      </c>
      <c r="O43" s="373">
        <f>[3]Додаток2!O44+[3]Додаток3!O36+[3]Додаток4!O35</f>
        <v>0</v>
      </c>
      <c r="P43" s="645">
        <f>Додаток2!P44+Додаток3!P36+Додаток4!P35</f>
        <v>0</v>
      </c>
      <c r="Q43" s="1032">
        <f>Додаток2!Q44+Додаток3!Q36+Додаток4!Q35</f>
        <v>26.21</v>
      </c>
      <c r="R43" s="409">
        <f>Додаток2!R44+Додаток3!R36+Додаток4!R35</f>
        <v>0.98</v>
      </c>
      <c r="S43" s="639">
        <f>Додаток2!S44+Додаток3!S36+Додаток4!S35</f>
        <v>3.52</v>
      </c>
      <c r="T43" s="373">
        <f>Додаток2!T44+Додаток3!T36+Додаток4!T35</f>
        <v>4.21</v>
      </c>
      <c r="U43" s="373">
        <v>0</v>
      </c>
      <c r="V43" s="645">
        <f>[3]Додаток2!V44+[3]Додаток3!V36+[3]Додаток4!V35</f>
        <v>0</v>
      </c>
      <c r="W43" s="1032">
        <f>Додаток2!W44+Додаток3!W36+Додаток4!W35</f>
        <v>6.84</v>
      </c>
      <c r="X43" s="409">
        <f>Додаток2!X44+Додаток3!X36+Додаток4!X35</f>
        <v>0.98</v>
      </c>
      <c r="Y43" s="407">
        <f>Додаток2!Y44+Додаток3!Y36+Додаток4!Y35</f>
        <v>0.04</v>
      </c>
      <c r="Z43" s="373">
        <f>Додаток2!Z44+Додаток3!Z36+Додаток4!Z35</f>
        <v>0.05</v>
      </c>
      <c r="AA43" s="645">
        <f>[3]Додаток2!AA44+[3]Додаток3!AA36+[3]Додаток4!AA35</f>
        <v>0</v>
      </c>
      <c r="AB43" s="1032">
        <f>Додаток2!AB44+Додаток3!AB36+Додаток4!AB35</f>
        <v>0.08</v>
      </c>
      <c r="AC43" s="409">
        <f>Додаток2!AC44+Додаток3!AC36+Додаток4!AC35</f>
        <v>0.98</v>
      </c>
      <c r="AD43" s="993">
        <f t="shared" si="0"/>
        <v>0</v>
      </c>
      <c r="AE43" s="412"/>
      <c r="AF43" s="44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/>
      <c r="BO43" s="287"/>
      <c r="BP43" s="287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  <c r="CI43" s="287"/>
      <c r="CJ43" s="287"/>
      <c r="CK43" s="287"/>
      <c r="CL43" s="287"/>
      <c r="CM43" s="287"/>
      <c r="CN43" s="287"/>
      <c r="CO43" s="287"/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/>
      <c r="DB43" s="287"/>
      <c r="DC43" s="287"/>
      <c r="DD43" s="287"/>
      <c r="DE43" s="287"/>
    </row>
    <row r="44" spans="1:109" s="288" customFormat="1" ht="21.95" customHeight="1">
      <c r="A44" s="683" t="s">
        <v>348</v>
      </c>
      <c r="B44" s="893" t="s">
        <v>212</v>
      </c>
      <c r="C44" s="407">
        <f>Додаток2!C45+Додаток3!C37+Додаток4!C36</f>
        <v>43.55</v>
      </c>
      <c r="D44" s="373">
        <f>Додаток2!D45+Додаток3!D37+Додаток4!D36</f>
        <v>56.47</v>
      </c>
      <c r="E44" s="373">
        <f>Додаток2!E45+Додаток3!E37+Додаток4!E36</f>
        <v>70.099999999999994</v>
      </c>
      <c r="F44" s="409">
        <f>Додаток2!F45+Додаток3!F37+Додаток4!F36</f>
        <v>0.3</v>
      </c>
      <c r="G44" s="407">
        <f>Додаток2!G45+Додаток3!G37+Додаток4!G36</f>
        <v>29.78</v>
      </c>
      <c r="H44" s="373">
        <f>Додаток2!H45+Додаток3!H37+Додаток4!H36</f>
        <v>39.729999999999997</v>
      </c>
      <c r="I44" s="373">
        <f>Додаток2!I45+Додаток3!I37+Додаток4!I36</f>
        <v>0</v>
      </c>
      <c r="J44" s="373">
        <f>Додаток2!J45+Додаток3!J37+Додаток4!J36</f>
        <v>0</v>
      </c>
      <c r="K44" s="373">
        <f>Додаток2!K45+Додаток3!K37+Додаток4!K36</f>
        <v>60.19</v>
      </c>
      <c r="L44" s="409">
        <f>Додаток2!L45+Додаток3!L37+Додаток4!L36</f>
        <v>0.3</v>
      </c>
      <c r="M44" s="407">
        <f>Додаток2!M45+Додаток3!M37+Додаток4!M36</f>
        <v>4.84</v>
      </c>
      <c r="N44" s="373">
        <f>Додаток2!N45+Додаток3!N37+Додаток4!N36</f>
        <v>5.85</v>
      </c>
      <c r="O44" s="373">
        <f>[3]Додаток2!O45+[3]Додаток3!O37+[3]Додаток4!O36</f>
        <v>0</v>
      </c>
      <c r="P44" s="645">
        <f>Додаток2!P45+Додаток3!P37+Додаток4!P36</f>
        <v>0</v>
      </c>
      <c r="Q44" s="1032">
        <f>Додаток2!Q45+Додаток3!Q37+Додаток4!Q36</f>
        <v>7.84</v>
      </c>
      <c r="R44" s="409">
        <f>Додаток2!R45+Додаток3!R37+Додаток4!R36</f>
        <v>0.3</v>
      </c>
      <c r="S44" s="639">
        <f>Додаток2!S45+Додаток3!S37+Додаток4!S36</f>
        <v>0.79</v>
      </c>
      <c r="T44" s="373">
        <f>Додаток2!T45+Додаток3!T37+Додаток4!T36</f>
        <v>0.9</v>
      </c>
      <c r="U44" s="373">
        <f>[3]Додаток2!U45+[3]Додаток3!U37+[3]Додаток4!U36</f>
        <v>0</v>
      </c>
      <c r="V44" s="645">
        <f>[3]Додаток2!V45+[3]Додаток3!V37+[3]Додаток4!V36</f>
        <v>0</v>
      </c>
      <c r="W44" s="1032">
        <f>Додаток2!W45+Додаток3!W37+Додаток4!W36</f>
        <v>2.0499999999999998</v>
      </c>
      <c r="X44" s="409">
        <f>Додаток2!X45+Додаток3!X37+Додаток4!X36</f>
        <v>0.3</v>
      </c>
      <c r="Y44" s="407">
        <f>Додаток2!Y45+Додаток3!Y37+Додаток4!Y36</f>
        <v>0.01</v>
      </c>
      <c r="Z44" s="373">
        <f>Додаток2!Z45+Додаток3!Z37+Додаток4!Z36</f>
        <v>0.01</v>
      </c>
      <c r="AA44" s="645">
        <f>[3]Додаток2!AA45+[3]Додаток3!AA37+[3]Додаток4!AA36</f>
        <v>0</v>
      </c>
      <c r="AB44" s="1032">
        <f>Додаток2!AB45+Додаток3!AB37+Додаток4!AB36</f>
        <v>0.02</v>
      </c>
      <c r="AC44" s="409">
        <f>Додаток2!AC45+Додаток3!AC37+Додаток4!AC36</f>
        <v>0.3</v>
      </c>
      <c r="AD44" s="993">
        <f t="shared" si="0"/>
        <v>0</v>
      </c>
      <c r="AE44" s="412"/>
      <c r="AF44" s="447"/>
      <c r="AG44" s="287"/>
      <c r="AH44" s="287"/>
      <c r="AI44" s="287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/>
      <c r="BD44" s="287"/>
      <c r="BE44" s="287"/>
      <c r="BF44" s="287"/>
      <c r="BG44" s="287"/>
      <c r="BH44" s="287"/>
      <c r="BI44" s="287"/>
      <c r="BJ44" s="287"/>
      <c r="BK44" s="287"/>
      <c r="BL44" s="287"/>
      <c r="BM44" s="287"/>
      <c r="BN44" s="287"/>
      <c r="BO44" s="287"/>
      <c r="BP44" s="287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  <c r="CF44" s="287"/>
      <c r="CG44" s="287"/>
      <c r="CH44" s="287"/>
      <c r="CI44" s="287"/>
      <c r="CJ44" s="287"/>
      <c r="CK44" s="287"/>
      <c r="CL44" s="287"/>
      <c r="CM44" s="287"/>
      <c r="CN44" s="287"/>
      <c r="CO44" s="287"/>
      <c r="CP44" s="287"/>
      <c r="CQ44" s="287"/>
      <c r="CR44" s="287"/>
      <c r="CS44" s="287"/>
      <c r="CT44" s="287"/>
      <c r="CU44" s="287"/>
      <c r="CV44" s="287"/>
      <c r="CW44" s="287"/>
      <c r="CX44" s="287"/>
      <c r="CY44" s="287"/>
      <c r="CZ44" s="287"/>
      <c r="DA44" s="287"/>
      <c r="DB44" s="287"/>
      <c r="DC44" s="287"/>
      <c r="DD44" s="287"/>
      <c r="DE44" s="287"/>
    </row>
    <row r="45" spans="1:109" s="288" customFormat="1" ht="21.95" customHeight="1">
      <c r="A45" s="683" t="s">
        <v>349</v>
      </c>
      <c r="B45" s="893" t="s">
        <v>422</v>
      </c>
      <c r="C45" s="407">
        <f>Додаток2!C46+Додаток3!C38+Додаток4!C37</f>
        <v>1.82</v>
      </c>
      <c r="D45" s="373">
        <f>Додаток2!D46+Додаток3!D38+Додаток4!D37</f>
        <v>1.46</v>
      </c>
      <c r="E45" s="373">
        <f>Додаток2!E46+Додаток3!E38+Додаток4!E37</f>
        <v>4.5599999999999996</v>
      </c>
      <c r="F45" s="409">
        <f>Додаток2!F46+Додаток3!F38+Додаток4!F37</f>
        <v>0.02</v>
      </c>
      <c r="G45" s="407">
        <f>Додаток2!G46+Додаток3!G38+Додаток4!G37</f>
        <v>1.22</v>
      </c>
      <c r="H45" s="373">
        <f>Додаток2!H46+Додаток3!H38+Додаток4!H37</f>
        <v>0.91</v>
      </c>
      <c r="I45" s="373">
        <f>Додаток2!I46+Додаток3!I38+Додаток4!I37</f>
        <v>0</v>
      </c>
      <c r="J45" s="373">
        <f>Додаток2!J46+Додаток3!J38+Додаток4!J37</f>
        <v>0</v>
      </c>
      <c r="K45" s="373">
        <f>Додаток2!K46+Додаток3!K38+Додаток4!K37</f>
        <v>3.92</v>
      </c>
      <c r="L45" s="409">
        <f>Додаток2!L46+Додаток3!L38+Додаток4!L37</f>
        <v>0.02</v>
      </c>
      <c r="M45" s="407">
        <f>Додаток2!M46+Додаток3!M38+Додаток4!M37</f>
        <v>0.2</v>
      </c>
      <c r="N45" s="373">
        <f>Додаток2!N46+Додаток3!N38+Додаток4!N37</f>
        <v>0.13</v>
      </c>
      <c r="O45" s="373">
        <f>[3]Додаток2!O46+[3]Додаток3!O38+[3]Додаток4!O37</f>
        <v>0</v>
      </c>
      <c r="P45" s="645">
        <f>Додаток2!P46+Додаток3!P38+Додаток4!P37</f>
        <v>0</v>
      </c>
      <c r="Q45" s="1032">
        <f>Додаток2!Q46+Додаток3!Q38+Додаток4!Q37</f>
        <v>0.51</v>
      </c>
      <c r="R45" s="409">
        <f>Додаток2!R46+Додаток3!R38+Додаток4!R37</f>
        <v>0.02</v>
      </c>
      <c r="S45" s="639">
        <f>Додаток2!S46+Додаток3!S38+Додаток4!S37</f>
        <v>0.03</v>
      </c>
      <c r="T45" s="373">
        <f>Додаток2!T46+Додаток3!T38+Додаток4!T37</f>
        <v>0.02</v>
      </c>
      <c r="U45" s="373">
        <f>[3]Додаток2!U46+[3]Додаток3!U38+[3]Додаток4!U37</f>
        <v>0</v>
      </c>
      <c r="V45" s="645">
        <f>[3]Додаток2!V46+[3]Додаток3!V38+[3]Додаток4!V37</f>
        <v>0</v>
      </c>
      <c r="W45" s="1032">
        <f>Додаток2!W46+Додаток3!W38+Додаток4!W37</f>
        <v>0.13</v>
      </c>
      <c r="X45" s="409">
        <f>Додаток2!X46+Додаток3!X38+Додаток4!X37</f>
        <v>0.02</v>
      </c>
      <c r="Y45" s="407">
        <f>Додаток2!Y46+Додаток3!Y38+Додаток4!Y37</f>
        <v>0</v>
      </c>
      <c r="Z45" s="373">
        <f>Додаток2!Z46+Додаток3!Z38+Додаток4!Z37</f>
        <v>0</v>
      </c>
      <c r="AA45" s="645">
        <f>[3]Додаток2!AA46+[3]Додаток3!AA38+[3]Додаток4!AA37</f>
        <v>0</v>
      </c>
      <c r="AB45" s="1032">
        <f>Додаток2!AB46+Додаток3!AB38+Додаток4!AB37</f>
        <v>0</v>
      </c>
      <c r="AC45" s="409">
        <f>Додаток2!AC46+Додаток3!AC38+Додаток4!AC37</f>
        <v>0.02</v>
      </c>
      <c r="AD45" s="993">
        <f t="shared" si="0"/>
        <v>0</v>
      </c>
      <c r="AE45" s="412"/>
      <c r="AF45" s="44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  <c r="CF45" s="287"/>
      <c r="CG45" s="287"/>
      <c r="CH45" s="287"/>
      <c r="CI45" s="287"/>
      <c r="CJ45" s="287"/>
      <c r="CK45" s="287"/>
      <c r="CL45" s="287"/>
      <c r="CM45" s="287"/>
      <c r="CN45" s="287"/>
      <c r="CO45" s="287"/>
      <c r="CP45" s="287"/>
      <c r="CQ45" s="287"/>
      <c r="CR45" s="287"/>
      <c r="CS45" s="287"/>
      <c r="CT45" s="287"/>
      <c r="CU45" s="287"/>
      <c r="CV45" s="287"/>
      <c r="CW45" s="287"/>
      <c r="CX45" s="287"/>
      <c r="CY45" s="287"/>
      <c r="CZ45" s="287"/>
      <c r="DA45" s="287"/>
      <c r="DB45" s="287"/>
      <c r="DC45" s="287"/>
      <c r="DD45" s="287"/>
      <c r="DE45" s="287"/>
    </row>
    <row r="46" spans="1:109" s="288" customFormat="1" ht="21.95" customHeight="1">
      <c r="A46" s="683"/>
      <c r="B46" s="893" t="s">
        <v>441</v>
      </c>
      <c r="C46" s="407">
        <f>Додаток2!C47</f>
        <v>15.81</v>
      </c>
      <c r="D46" s="373">
        <f>Додаток2!D47</f>
        <v>61.49</v>
      </c>
      <c r="E46" s="373">
        <f>Додаток2!E47</f>
        <v>22.5</v>
      </c>
      <c r="F46" s="409">
        <f>Додаток2!F47</f>
        <v>0.09</v>
      </c>
      <c r="G46" s="407">
        <f>Додаток2!G47</f>
        <v>13.3</v>
      </c>
      <c r="H46" s="373">
        <f>Додаток2!H47</f>
        <v>52.56</v>
      </c>
      <c r="I46" s="373">
        <f>Додаток2!I47</f>
        <v>0</v>
      </c>
      <c r="J46" s="373">
        <f>Додаток2!J47</f>
        <v>0</v>
      </c>
      <c r="K46" s="373">
        <f>Додаток2!K47</f>
        <v>19.32</v>
      </c>
      <c r="L46" s="409">
        <f>Додаток2!L47</f>
        <v>0.09</v>
      </c>
      <c r="M46" s="407">
        <f>Додаток2!M47</f>
        <v>2.16</v>
      </c>
      <c r="N46" s="373">
        <f>Додаток2!N47</f>
        <v>7.74</v>
      </c>
      <c r="O46" s="373">
        <f>[3]Додаток2!O47</f>
        <v>0</v>
      </c>
      <c r="P46" s="645">
        <f>Додаток2!P47</f>
        <v>0</v>
      </c>
      <c r="Q46" s="1032">
        <f>Додаток2!Q47</f>
        <v>2.5099999999999998</v>
      </c>
      <c r="R46" s="409">
        <f>Додаток2!R47</f>
        <v>0.09</v>
      </c>
      <c r="S46" s="639">
        <f>Додаток2!S47</f>
        <v>0.35</v>
      </c>
      <c r="T46" s="373">
        <f>Додаток2!T47</f>
        <v>1.19</v>
      </c>
      <c r="U46" s="373">
        <f>[3]Додаток2!U47</f>
        <v>0</v>
      </c>
      <c r="V46" s="645">
        <f>[3]Додаток2!V47</f>
        <v>0</v>
      </c>
      <c r="W46" s="1032">
        <f>Додаток2!W47</f>
        <v>0.66</v>
      </c>
      <c r="X46" s="409">
        <f>Додаток2!X47</f>
        <v>0.09</v>
      </c>
      <c r="Y46" s="407">
        <f>Додаток2!Y47</f>
        <v>0</v>
      </c>
      <c r="Z46" s="373">
        <f>Додаток2!Z47</f>
        <v>0.01</v>
      </c>
      <c r="AA46" s="645">
        <f>[3]Додаток2!AA47</f>
        <v>0</v>
      </c>
      <c r="AB46" s="1032">
        <f>Додаток2!AB47</f>
        <v>0.01</v>
      </c>
      <c r="AC46" s="409">
        <f>Додаток2!AC47</f>
        <v>0.09</v>
      </c>
      <c r="AD46" s="993">
        <f t="shared" si="0"/>
        <v>0</v>
      </c>
      <c r="AE46" s="412"/>
      <c r="AF46" s="44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  <c r="CF46" s="287"/>
      <c r="CG46" s="287"/>
      <c r="CH46" s="287"/>
      <c r="CI46" s="287"/>
      <c r="CJ46" s="287"/>
      <c r="CK46" s="287"/>
      <c r="CL46" s="287"/>
      <c r="CM46" s="287"/>
      <c r="CN46" s="287"/>
      <c r="CO46" s="287"/>
      <c r="CP46" s="287"/>
      <c r="CQ46" s="287"/>
      <c r="CR46" s="287"/>
      <c r="CS46" s="287"/>
      <c r="CT46" s="287"/>
      <c r="CU46" s="287"/>
      <c r="CV46" s="287"/>
      <c r="CW46" s="287"/>
      <c r="CX46" s="287"/>
      <c r="CY46" s="287"/>
      <c r="CZ46" s="287"/>
      <c r="DA46" s="287"/>
      <c r="DB46" s="287"/>
      <c r="DC46" s="287"/>
      <c r="DD46" s="287"/>
      <c r="DE46" s="287"/>
    </row>
    <row r="47" spans="1:109" s="288" customFormat="1" ht="21.95" customHeight="1">
      <c r="A47" s="683"/>
      <c r="B47" s="893" t="s">
        <v>440</v>
      </c>
      <c r="C47" s="407">
        <f>Додаток2!C48</f>
        <v>1.9</v>
      </c>
      <c r="D47" s="373">
        <f>Додаток2!D48</f>
        <v>3.02</v>
      </c>
      <c r="E47" s="373">
        <f>Додаток2!E48</f>
        <v>10.1</v>
      </c>
      <c r="F47" s="409">
        <f>Додаток2!F48</f>
        <v>0.04</v>
      </c>
      <c r="G47" s="407">
        <f>Додаток2!G48</f>
        <v>1.6</v>
      </c>
      <c r="H47" s="373">
        <f>Додаток2!H48</f>
        <v>2.58</v>
      </c>
      <c r="I47" s="373">
        <f>Додаток2!I48</f>
        <v>0</v>
      </c>
      <c r="J47" s="373">
        <f>Додаток2!J48</f>
        <v>0</v>
      </c>
      <c r="K47" s="373">
        <f>Додаток2!K48</f>
        <v>8.67</v>
      </c>
      <c r="L47" s="409">
        <f>Додаток2!L48</f>
        <v>0.04</v>
      </c>
      <c r="M47" s="407">
        <f>Додаток2!M48</f>
        <v>0.26</v>
      </c>
      <c r="N47" s="373">
        <f>Додаток2!N48</f>
        <v>0.38</v>
      </c>
      <c r="O47" s="373">
        <f>[3]Додаток2!O48</f>
        <v>0</v>
      </c>
      <c r="P47" s="645">
        <f>Додаток2!P48</f>
        <v>0</v>
      </c>
      <c r="Q47" s="1032">
        <f>Додаток2!Q48</f>
        <v>1.1299999999999999</v>
      </c>
      <c r="R47" s="409">
        <f>Додаток2!R48</f>
        <v>0.04</v>
      </c>
      <c r="S47" s="639">
        <f>Додаток2!S48</f>
        <v>0.04</v>
      </c>
      <c r="T47" s="373">
        <f>Додаток2!T48</f>
        <v>0.04</v>
      </c>
      <c r="U47" s="373">
        <f>[3]Додаток2!U48</f>
        <v>0</v>
      </c>
      <c r="V47" s="645">
        <f>[3]Додаток2!V48</f>
        <v>0</v>
      </c>
      <c r="W47" s="1032">
        <f>Додаток2!W48</f>
        <v>0.28999999999999998</v>
      </c>
      <c r="X47" s="409">
        <f>Додаток2!X48</f>
        <v>0.04</v>
      </c>
      <c r="Y47" s="407">
        <f>Додаток2!Y48</f>
        <v>0</v>
      </c>
      <c r="Z47" s="373">
        <f>Додаток2!Z48</f>
        <v>0</v>
      </c>
      <c r="AA47" s="645">
        <f>[3]Додаток2!AA48</f>
        <v>0</v>
      </c>
      <c r="AB47" s="1032">
        <f>Додаток2!AB48</f>
        <v>0.01</v>
      </c>
      <c r="AC47" s="409">
        <f>Додаток2!AC48</f>
        <v>0.04</v>
      </c>
      <c r="AD47" s="993">
        <f t="shared" si="0"/>
        <v>0</v>
      </c>
      <c r="AE47" s="412"/>
      <c r="AF47" s="44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/>
      <c r="BG47" s="287"/>
      <c r="BH47" s="287"/>
      <c r="BI47" s="287"/>
      <c r="BJ47" s="287"/>
      <c r="BK47" s="287"/>
      <c r="BL47" s="287"/>
      <c r="BM47" s="287"/>
      <c r="BN47" s="287"/>
      <c r="BO47" s="287"/>
      <c r="BP47" s="287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  <c r="CF47" s="287"/>
      <c r="CG47" s="287"/>
      <c r="CH47" s="287"/>
      <c r="CI47" s="287"/>
      <c r="CJ47" s="287"/>
      <c r="CK47" s="287"/>
      <c r="CL47" s="287"/>
      <c r="CM47" s="287"/>
      <c r="CN47" s="287"/>
      <c r="CO47" s="287"/>
      <c r="CP47" s="287"/>
      <c r="CQ47" s="287"/>
      <c r="CR47" s="287"/>
      <c r="CS47" s="287"/>
      <c r="CT47" s="287"/>
      <c r="CU47" s="287"/>
      <c r="CV47" s="287"/>
      <c r="CW47" s="287"/>
      <c r="CX47" s="287"/>
      <c r="CY47" s="287"/>
      <c r="CZ47" s="287"/>
      <c r="DA47" s="287"/>
      <c r="DB47" s="287"/>
      <c r="DC47" s="287"/>
      <c r="DD47" s="287"/>
      <c r="DE47" s="287"/>
    </row>
    <row r="48" spans="1:109" s="288" customFormat="1" ht="21.95" customHeight="1">
      <c r="A48" s="683"/>
      <c r="B48" s="894" t="s">
        <v>442</v>
      </c>
      <c r="C48" s="407">
        <f>Додаток2!C49</f>
        <v>70.709999999999994</v>
      </c>
      <c r="D48" s="373">
        <f>Додаток2!D49</f>
        <v>78.56</v>
      </c>
      <c r="E48" s="373">
        <f>Додаток2!E49</f>
        <v>109.5</v>
      </c>
      <c r="F48" s="409">
        <f>Додаток2!F49</f>
        <v>0.46</v>
      </c>
      <c r="G48" s="407">
        <f>Додаток2!G49</f>
        <v>59.48</v>
      </c>
      <c r="H48" s="373">
        <f>Додаток2!H49</f>
        <v>67.16</v>
      </c>
      <c r="I48" s="373">
        <f>Додаток2!I49</f>
        <v>0</v>
      </c>
      <c r="J48" s="373">
        <f>Додаток2!J49</f>
        <v>0</v>
      </c>
      <c r="K48" s="373">
        <f>Додаток2!K49</f>
        <v>94.02</v>
      </c>
      <c r="L48" s="409">
        <f>Додаток2!L49</f>
        <v>0.46</v>
      </c>
      <c r="M48" s="407">
        <f>Додаток2!M49</f>
        <v>9.66</v>
      </c>
      <c r="N48" s="373">
        <f>Додаток2!N49</f>
        <v>9.89</v>
      </c>
      <c r="O48" s="373">
        <f>[3]Додаток2!O49</f>
        <v>0</v>
      </c>
      <c r="P48" s="645">
        <f>Додаток2!P49</f>
        <v>0</v>
      </c>
      <c r="Q48" s="1032">
        <f>Додаток2!Q49</f>
        <v>12.25</v>
      </c>
      <c r="R48" s="409">
        <f>Додаток2!R49</f>
        <v>0.46</v>
      </c>
      <c r="S48" s="639">
        <f>Додаток2!S49</f>
        <v>1.58</v>
      </c>
      <c r="T48" s="373">
        <f>Додаток2!T49</f>
        <v>1.52</v>
      </c>
      <c r="U48" s="373">
        <f>[3]Додаток2!U49</f>
        <v>0</v>
      </c>
      <c r="V48" s="645">
        <f>[3]Додаток2!V49</f>
        <v>0</v>
      </c>
      <c r="W48" s="1032">
        <f>Додаток2!W49</f>
        <v>3.2</v>
      </c>
      <c r="X48" s="409">
        <f>Додаток2!X49</f>
        <v>0.46</v>
      </c>
      <c r="Y48" s="407">
        <f>Додаток2!Y49</f>
        <v>0.02</v>
      </c>
      <c r="Z48" s="373">
        <f>Додаток2!Z49</f>
        <v>0.02</v>
      </c>
      <c r="AA48" s="645">
        <f>[3]Додаток2!AA49</f>
        <v>0</v>
      </c>
      <c r="AB48" s="1032">
        <f>Додаток2!AB49</f>
        <v>0.03</v>
      </c>
      <c r="AC48" s="409">
        <f>Додаток2!AC49</f>
        <v>0.46</v>
      </c>
      <c r="AD48" s="993">
        <f t="shared" si="0"/>
        <v>0</v>
      </c>
      <c r="AE48" s="412"/>
      <c r="AF48" s="447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/>
      <c r="BG48" s="287"/>
      <c r="BH48" s="287"/>
      <c r="BI48" s="287"/>
      <c r="BJ48" s="287"/>
      <c r="BK48" s="287"/>
      <c r="BL48" s="287"/>
      <c r="BM48" s="287"/>
      <c r="BN48" s="287"/>
      <c r="BO48" s="287"/>
      <c r="BP48" s="287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  <c r="CI48" s="287"/>
      <c r="CJ48" s="287"/>
      <c r="CK48" s="287"/>
      <c r="CL48" s="287"/>
      <c r="CM48" s="287"/>
      <c r="CN48" s="287"/>
      <c r="CO48" s="287"/>
      <c r="CP48" s="287"/>
      <c r="CQ48" s="287"/>
      <c r="CR48" s="287"/>
      <c r="CS48" s="287"/>
      <c r="CT48" s="287"/>
      <c r="CU48" s="287"/>
      <c r="CV48" s="287"/>
      <c r="CW48" s="287"/>
      <c r="CX48" s="287"/>
      <c r="CY48" s="287"/>
      <c r="CZ48" s="287"/>
      <c r="DA48" s="287"/>
      <c r="DB48" s="287"/>
      <c r="DC48" s="287"/>
      <c r="DD48" s="287"/>
      <c r="DE48" s="287"/>
    </row>
    <row r="49" spans="1:109" s="288" customFormat="1" ht="21.95" customHeight="1">
      <c r="A49" s="683"/>
      <c r="B49" s="894" t="s">
        <v>448</v>
      </c>
      <c r="C49" s="407">
        <f>Додаток2!C50</f>
        <v>6</v>
      </c>
      <c r="D49" s="373">
        <f>Додаток2!D50</f>
        <v>1.8</v>
      </c>
      <c r="E49" s="373">
        <f>Додаток2!E50</f>
        <v>17.600000000000001</v>
      </c>
      <c r="F49" s="409">
        <f>Додаток2!F50</f>
        <v>7.0000000000000007E-2</v>
      </c>
      <c r="G49" s="407">
        <f>Додаток2!G50</f>
        <v>5.05</v>
      </c>
      <c r="H49" s="373">
        <f>Додаток2!H50</f>
        <v>1.54</v>
      </c>
      <c r="I49" s="373">
        <f>Додаток2!I50</f>
        <v>0</v>
      </c>
      <c r="J49" s="373">
        <f>Додаток2!J50</f>
        <v>0</v>
      </c>
      <c r="K49" s="373">
        <f>Додаток2!K50</f>
        <v>15.11</v>
      </c>
      <c r="L49" s="409">
        <f>Додаток2!L50</f>
        <v>7.0000000000000007E-2</v>
      </c>
      <c r="M49" s="407">
        <f>Додаток2!M50</f>
        <v>0.82</v>
      </c>
      <c r="N49" s="373">
        <f>Додаток2!N50</f>
        <v>0.23</v>
      </c>
      <c r="O49" s="373">
        <f>[3]Додаток2!O50</f>
        <v>0</v>
      </c>
      <c r="P49" s="645">
        <f>Додаток2!P50</f>
        <v>0</v>
      </c>
      <c r="Q49" s="1032">
        <f>Додаток2!Q50</f>
        <v>1.97</v>
      </c>
      <c r="R49" s="409">
        <f>Додаток2!R50</f>
        <v>7.0000000000000007E-2</v>
      </c>
      <c r="S49" s="639">
        <f>Додаток2!S50</f>
        <v>0.13</v>
      </c>
      <c r="T49" s="373">
        <f>Додаток2!T50</f>
        <v>0.03</v>
      </c>
      <c r="U49" s="373">
        <f>[3]Додаток2!U50</f>
        <v>0</v>
      </c>
      <c r="V49" s="645">
        <f>[3]Додаток2!V50</f>
        <v>0</v>
      </c>
      <c r="W49" s="1032">
        <f>Додаток2!W50</f>
        <v>0.51</v>
      </c>
      <c r="X49" s="409">
        <f>Додаток2!X50</f>
        <v>7.0000000000000007E-2</v>
      </c>
      <c r="Y49" s="407">
        <f>Додаток2!Y50</f>
        <v>0</v>
      </c>
      <c r="Z49" s="373">
        <f>Додаток2!Z50</f>
        <v>0</v>
      </c>
      <c r="AA49" s="645">
        <f>[3]Додаток2!AA50</f>
        <v>0</v>
      </c>
      <c r="AB49" s="1032">
        <f>Додаток2!AB50</f>
        <v>0.01</v>
      </c>
      <c r="AC49" s="409">
        <f>Додаток2!AC50</f>
        <v>7.0000000000000007E-2</v>
      </c>
      <c r="AD49" s="993">
        <f t="shared" si="0"/>
        <v>0</v>
      </c>
      <c r="AE49" s="412"/>
      <c r="AF49" s="44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  <c r="AZ49" s="287"/>
      <c r="BA49" s="287"/>
      <c r="BB49" s="287"/>
      <c r="BC49" s="287"/>
      <c r="BD49" s="287"/>
      <c r="BE49" s="287"/>
      <c r="BF49" s="287"/>
      <c r="BG49" s="287"/>
      <c r="BH49" s="287"/>
      <c r="BI49" s="287"/>
      <c r="BJ49" s="287"/>
      <c r="BK49" s="287"/>
      <c r="BL49" s="287"/>
      <c r="BM49" s="287"/>
      <c r="BN49" s="287"/>
      <c r="BO49" s="287"/>
      <c r="BP49" s="287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  <c r="CF49" s="287"/>
      <c r="CG49" s="287"/>
      <c r="CH49" s="287"/>
      <c r="CI49" s="287"/>
      <c r="CJ49" s="287"/>
      <c r="CK49" s="287"/>
      <c r="CL49" s="287"/>
      <c r="CM49" s="287"/>
      <c r="CN49" s="287"/>
      <c r="CO49" s="287"/>
      <c r="CP49" s="287"/>
      <c r="CQ49" s="287"/>
      <c r="CR49" s="287"/>
      <c r="CS49" s="287"/>
      <c r="CT49" s="287"/>
      <c r="CU49" s="287"/>
      <c r="CV49" s="287"/>
      <c r="CW49" s="287"/>
      <c r="CX49" s="287"/>
      <c r="CY49" s="287"/>
      <c r="CZ49" s="287"/>
      <c r="DA49" s="287"/>
      <c r="DB49" s="287"/>
      <c r="DC49" s="287"/>
      <c r="DD49" s="287"/>
      <c r="DE49" s="287"/>
    </row>
    <row r="50" spans="1:109" s="288" customFormat="1" ht="21.95" customHeight="1">
      <c r="A50" s="683" t="s">
        <v>426</v>
      </c>
      <c r="B50" s="893" t="s">
        <v>423</v>
      </c>
      <c r="C50" s="407">
        <f>Додаток2!C51+Додаток3!C39+Додаток4!C38</f>
        <v>57.19</v>
      </c>
      <c r="D50" s="373">
        <f>Додаток2!D51+Додаток3!D39+Додаток4!D38</f>
        <v>57.47</v>
      </c>
      <c r="E50" s="373">
        <f>Додаток2!E51+Додаток3!E39+Додаток4!E38</f>
        <v>0</v>
      </c>
      <c r="F50" s="409">
        <f>Додаток2!F51+Додаток3!F39+Додаток4!F38</f>
        <v>0</v>
      </c>
      <c r="G50" s="407">
        <f>Додаток2!G51+Додаток3!G39+Додаток4!G38</f>
        <v>22.89</v>
      </c>
      <c r="H50" s="373">
        <f>Додаток2!H51+Додаток3!H39+Додаток4!H38</f>
        <v>22.75</v>
      </c>
      <c r="I50" s="373">
        <f>Додаток2!I51+Додаток3!I39+Додаток4!I38</f>
        <v>0</v>
      </c>
      <c r="J50" s="373">
        <f>Додаток2!J51+Додаток3!J39+Додаток4!J38</f>
        <v>0</v>
      </c>
      <c r="K50" s="373">
        <f>Додаток2!K51+Додаток3!K39+Додаток4!K38</f>
        <v>0</v>
      </c>
      <c r="L50" s="409">
        <f>Додаток2!L51+Додаток3!L39+Додаток4!L38</f>
        <v>0</v>
      </c>
      <c r="M50" s="407">
        <f>Додаток2!M51+Додаток3!M39+Додаток4!M38</f>
        <v>3.72</v>
      </c>
      <c r="N50" s="373">
        <f>Додаток2!N51+Додаток3!N39+Додаток4!N38</f>
        <v>3.35</v>
      </c>
      <c r="O50" s="373">
        <f>[3]Додаток2!O51+[3]Додаток3!O39+[3]Додаток4!O38</f>
        <v>0</v>
      </c>
      <c r="P50" s="645">
        <f>Додаток2!P51+Додаток3!P39+Додаток4!P38</f>
        <v>0</v>
      </c>
      <c r="Q50" s="1032">
        <f>Додаток2!Q51+Додаток3!Q39+Додаток4!Q38</f>
        <v>0</v>
      </c>
      <c r="R50" s="409">
        <f>Додаток2!R51+Додаток3!R39+Додаток4!R38</f>
        <v>0</v>
      </c>
      <c r="S50" s="639">
        <f>Додаток2!S51+Додаток3!S39+Додаток4!S38</f>
        <v>0.6</v>
      </c>
      <c r="T50" s="373">
        <f>Додаток2!T51+Додаток3!T39+Додаток4!T38</f>
        <v>0.51</v>
      </c>
      <c r="U50" s="373">
        <f>[3]Додаток2!U51+[3]Додаток3!U39+[3]Додаток4!U38</f>
        <v>0</v>
      </c>
      <c r="V50" s="645">
        <f>[3]Додаток2!V51+[3]Додаток3!V39+[3]Додаток4!V38</f>
        <v>0</v>
      </c>
      <c r="W50" s="1032">
        <f>Додаток2!W51+Додаток3!W39+Додаток4!W38</f>
        <v>0</v>
      </c>
      <c r="X50" s="409">
        <f>Додаток2!X51+Додаток3!X39+Додаток4!X38</f>
        <v>0</v>
      </c>
      <c r="Y50" s="407">
        <f>Додаток2!Y51+Додаток3!Y39+Додаток4!Y38</f>
        <v>0.01</v>
      </c>
      <c r="Z50" s="373">
        <f>Додаток2!Z51+Додаток3!Z39+Додаток4!Z38</f>
        <v>0.01</v>
      </c>
      <c r="AA50" s="645">
        <f>[3]Додаток2!AA51+[3]Додаток3!AA39+[3]Додаток4!AA38</f>
        <v>0</v>
      </c>
      <c r="AB50" s="1032">
        <f>Додаток2!AB51+Додаток3!AB39+Додаток4!AB38</f>
        <v>0</v>
      </c>
      <c r="AC50" s="409">
        <f>Додаток2!AC51+Додаток3!AC39+Додаток4!AC38</f>
        <v>0</v>
      </c>
      <c r="AD50" s="993">
        <f t="shared" si="0"/>
        <v>0</v>
      </c>
      <c r="AE50" s="412"/>
      <c r="AF50" s="447"/>
      <c r="AG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7"/>
      <c r="BG50" s="287"/>
      <c r="BH50" s="287"/>
      <c r="BI50" s="287"/>
      <c r="BJ50" s="287"/>
      <c r="BK50" s="287"/>
      <c r="BL50" s="287"/>
      <c r="BM50" s="287"/>
      <c r="BN50" s="287"/>
      <c r="BO50" s="287"/>
      <c r="BP50" s="287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  <c r="CF50" s="287"/>
      <c r="CG50" s="287"/>
      <c r="CH50" s="287"/>
      <c r="CI50" s="287"/>
      <c r="CJ50" s="287"/>
      <c r="CK50" s="287"/>
      <c r="CL50" s="287"/>
      <c r="CM50" s="287"/>
      <c r="CN50" s="287"/>
      <c r="CO50" s="287"/>
      <c r="CP50" s="287"/>
      <c r="CQ50" s="287"/>
      <c r="CR50" s="287"/>
      <c r="CS50" s="287"/>
      <c r="CT50" s="287"/>
      <c r="CU50" s="287"/>
      <c r="CV50" s="287"/>
      <c r="CW50" s="287"/>
      <c r="CX50" s="287"/>
      <c r="CY50" s="287"/>
      <c r="CZ50" s="287"/>
      <c r="DA50" s="287"/>
      <c r="DB50" s="287"/>
      <c r="DC50" s="287"/>
      <c r="DD50" s="287"/>
      <c r="DE50" s="287"/>
    </row>
    <row r="51" spans="1:109" s="288" customFormat="1" ht="48.75" customHeight="1">
      <c r="A51" s="683" t="s">
        <v>60</v>
      </c>
      <c r="B51" s="897" t="s">
        <v>345</v>
      </c>
      <c r="C51" s="407">
        <f>Додаток2!C52+Додаток3!C40+Додаток4!C39</f>
        <v>2586.27</v>
      </c>
      <c r="D51" s="373">
        <f>Додаток2!D52+Додаток3!D40+Додаток4!D39</f>
        <v>2603.15</v>
      </c>
      <c r="E51" s="373">
        <f>Додаток2!E52+Додаток3!E40+Додаток4!E39</f>
        <v>4258.2700000000004</v>
      </c>
      <c r="F51" s="409">
        <f>Додаток2!F52+Додаток3!F40+Додаток4!F39</f>
        <v>17.98</v>
      </c>
      <c r="G51" s="407">
        <f>Додаток2!G52+Додаток3!G40+Додаток4!G39</f>
        <v>2426.7800000000002</v>
      </c>
      <c r="H51" s="373">
        <f>Додаток2!H52+Додаток3!H40+Додаток4!H39</f>
        <v>2577.85</v>
      </c>
      <c r="I51" s="373">
        <v>2853.67</v>
      </c>
      <c r="J51" s="373">
        <v>13.9</v>
      </c>
      <c r="K51" s="373">
        <f>Додаток2!K52+Додаток3!K40+Додаток4!K39</f>
        <v>3656.45</v>
      </c>
      <c r="L51" s="409">
        <f>Додаток2!L52+Додаток3!L40+Додаток4!L39</f>
        <v>17.98</v>
      </c>
      <c r="M51" s="407">
        <f>Додаток2!M52+Додаток3!M40+Додаток4!M39</f>
        <v>394.06</v>
      </c>
      <c r="N51" s="373">
        <f>Додаток2!N52+Додаток3!N40+Додаток4!N39</f>
        <v>379.45</v>
      </c>
      <c r="O51" s="373">
        <v>378.68</v>
      </c>
      <c r="P51" s="645">
        <v>13.9</v>
      </c>
      <c r="Q51" s="1032">
        <f>Додаток2!Q52+Додаток3!Q40+Додаток4!Q39</f>
        <v>476.52</v>
      </c>
      <c r="R51" s="409">
        <f>Додаток2!R52+Додаток3!R40+Додаток4!R39</f>
        <v>17.98</v>
      </c>
      <c r="S51" s="639">
        <f>Додаток2!S52+Додаток3!S40+Додаток4!S39</f>
        <v>64.36</v>
      </c>
      <c r="T51" s="373">
        <f>Додаток2!T52+Додаток3!T40+Додаток4!T39</f>
        <v>58.31</v>
      </c>
      <c r="U51" s="373">
        <v>124.24</v>
      </c>
      <c r="V51" s="645">
        <v>13.9</v>
      </c>
      <c r="W51" s="1032">
        <f>Додаток2!W52+Додаток3!W40+Додаток4!W39</f>
        <v>124.21</v>
      </c>
      <c r="X51" s="409">
        <f>Додаток2!X52+Додаток3!X40+Додаток4!X39</f>
        <v>17.98</v>
      </c>
      <c r="Y51" s="407">
        <f>Додаток2!Y52+Додаток3!Y40+Додаток4!Y39</f>
        <v>0.65</v>
      </c>
      <c r="Z51" s="373">
        <f>Додаток2!Z52+Додаток3!Z40+Додаток4!Z39</f>
        <v>0.68</v>
      </c>
      <c r="AA51" s="645">
        <v>13.9</v>
      </c>
      <c r="AB51" s="1032">
        <f>Додаток2!AB52+Додаток3!AB40+Додаток4!AB39</f>
        <v>1.0900000000000001</v>
      </c>
      <c r="AC51" s="409">
        <f>Додаток2!AC52+Додаток3!AC40+Додаток4!AC39</f>
        <v>17.98</v>
      </c>
      <c r="AD51" s="993">
        <f t="shared" si="0"/>
        <v>0</v>
      </c>
      <c r="AE51" s="287"/>
      <c r="AF51" s="287"/>
      <c r="AG51" s="287"/>
      <c r="AH51" s="287"/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7"/>
      <c r="AV51" s="287"/>
      <c r="AW51" s="287"/>
      <c r="AX51" s="287"/>
      <c r="AY51" s="287"/>
      <c r="AZ51" s="287"/>
      <c r="BA51" s="287"/>
      <c r="BB51" s="287"/>
      <c r="BC51" s="287"/>
      <c r="BD51" s="287"/>
      <c r="BE51" s="287"/>
      <c r="BF51" s="287"/>
      <c r="BG51" s="287"/>
      <c r="BH51" s="287"/>
      <c r="BI51" s="287"/>
      <c r="BJ51" s="287"/>
      <c r="BK51" s="287"/>
      <c r="BL51" s="287"/>
      <c r="BM51" s="287"/>
      <c r="BN51" s="287"/>
      <c r="BO51" s="287"/>
      <c r="BP51" s="287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  <c r="CI51" s="287"/>
      <c r="CJ51" s="287"/>
      <c r="CK51" s="287"/>
      <c r="CL51" s="287"/>
      <c r="CM51" s="287"/>
      <c r="CN51" s="287"/>
      <c r="CO51" s="287"/>
      <c r="CP51" s="287"/>
      <c r="CQ51" s="287"/>
      <c r="CR51" s="287"/>
      <c r="CS51" s="287"/>
      <c r="CT51" s="287"/>
      <c r="CU51" s="287"/>
      <c r="CV51" s="287"/>
      <c r="CW51" s="287"/>
      <c r="CX51" s="287"/>
      <c r="CY51" s="287"/>
    </row>
    <row r="52" spans="1:109" s="290" customFormat="1" ht="21.95" customHeight="1">
      <c r="A52" s="683" t="s">
        <v>427</v>
      </c>
      <c r="B52" s="899" t="s">
        <v>53</v>
      </c>
      <c r="C52" s="407">
        <f>Додаток2!C53+Додаток3!C41+Додаток4!C40</f>
        <v>1914.11</v>
      </c>
      <c r="D52" s="373">
        <f>Додаток2!D53+Додаток3!D41+Додаток4!D40</f>
        <v>2146.13</v>
      </c>
      <c r="E52" s="373">
        <f>Додаток2!E53+Додаток3!E41+Додаток4!E40</f>
        <v>3490.38</v>
      </c>
      <c r="F52" s="409">
        <f>Додаток2!F53+Додаток3!F41+Додаток4!F40</f>
        <v>14.74</v>
      </c>
      <c r="G52" s="407">
        <f>Додаток2!G53+Додаток3!G41+Додаток4!G40</f>
        <v>1850.03</v>
      </c>
      <c r="H52" s="373">
        <f>Додаток2!H53+Додаток3!H41+Додаток4!H40</f>
        <v>2120.77</v>
      </c>
      <c r="I52" s="373">
        <v>2339.0700000000002</v>
      </c>
      <c r="J52" s="373">
        <v>11.39</v>
      </c>
      <c r="K52" s="373">
        <f>Додаток2!K53+Додаток3!K41+Додаток4!K40</f>
        <v>2997.09</v>
      </c>
      <c r="L52" s="409">
        <f>Додаток2!L53+Додаток3!L41+Додаток4!L40</f>
        <v>14.74</v>
      </c>
      <c r="M52" s="407">
        <f>Додаток2!M53+Додаток3!M41+Додаток4!M40</f>
        <v>300.41000000000003</v>
      </c>
      <c r="N52" s="373">
        <f>Додаток2!N53+Додаток3!N41+Додаток4!N40</f>
        <v>312.17</v>
      </c>
      <c r="O52" s="373">
        <f>[3]Додаток2!O53+[3]Додаток3!O41+[3]Додаток4!O40</f>
        <v>310.39</v>
      </c>
      <c r="P52" s="645">
        <v>11.39</v>
      </c>
      <c r="Q52" s="1032">
        <f>Додаток2!Q53+Додаток3!Q41+Додаток4!Q40</f>
        <v>390.59</v>
      </c>
      <c r="R52" s="409">
        <f>Додаток2!R53+Додаток3!R41+Додаток4!R40</f>
        <v>14.74</v>
      </c>
      <c r="S52" s="639">
        <f>Додаток2!S53+Додаток3!S41+Додаток4!S40</f>
        <v>49.07</v>
      </c>
      <c r="T52" s="373">
        <f>Додаток2!T53+Додаток3!T41+Додаток4!T40</f>
        <v>47.97</v>
      </c>
      <c r="U52" s="373">
        <v>101.84</v>
      </c>
      <c r="V52" s="645">
        <v>11.39</v>
      </c>
      <c r="W52" s="1032">
        <f>Додаток2!W53+Додаток3!W41+Додаток4!W40</f>
        <v>101.81</v>
      </c>
      <c r="X52" s="409">
        <f>Додаток2!X53+Додаток3!X41+Додаток4!X40</f>
        <v>14.74</v>
      </c>
      <c r="Y52" s="407">
        <f>Додаток2!Y53+Додаток3!Y41+Додаток4!Y40</f>
        <v>0.5</v>
      </c>
      <c r="Z52" s="373">
        <f>Додаток2!Z53+Додаток3!Z41+Додаток4!Z40</f>
        <v>0.56000000000000005</v>
      </c>
      <c r="AA52" s="645">
        <v>11.39</v>
      </c>
      <c r="AB52" s="1032">
        <f>Додаток2!AB53+Додаток3!AB41+Додаток4!AB40</f>
        <v>0.89</v>
      </c>
      <c r="AC52" s="409">
        <f>Додаток2!AC53+Додаток3!AC41+Додаток4!AC40</f>
        <v>14.74</v>
      </c>
      <c r="AD52" s="993">
        <f t="shared" si="0"/>
        <v>0</v>
      </c>
    </row>
    <row r="53" spans="1:109" s="288" customFormat="1" ht="21.95" customHeight="1">
      <c r="A53" s="683" t="s">
        <v>428</v>
      </c>
      <c r="B53" s="899" t="s">
        <v>45</v>
      </c>
      <c r="C53" s="407">
        <f>Додаток2!C54+Додаток3!C42+Додаток4!C41</f>
        <v>672.16</v>
      </c>
      <c r="D53" s="373">
        <f>Додаток2!D54+Додаток3!D42+Додаток4!D41</f>
        <v>457.02</v>
      </c>
      <c r="E53" s="373">
        <f>Додаток2!E54+Додаток3!E42+Додаток4!E41</f>
        <v>767.89</v>
      </c>
      <c r="F53" s="409">
        <f>Додаток2!F54+Додаток3!F42+Додаток4!F41</f>
        <v>3.24</v>
      </c>
      <c r="G53" s="407">
        <f>Додаток2!G54+Додаток3!G42+Додаток4!G41</f>
        <v>576.75</v>
      </c>
      <c r="H53" s="373">
        <f>Додаток2!H54+Додаток3!H42+Додаток4!H41</f>
        <v>457.08</v>
      </c>
      <c r="I53" s="373">
        <v>514.6</v>
      </c>
      <c r="J53" s="373">
        <v>2.5099999999999998</v>
      </c>
      <c r="K53" s="373">
        <f>Додаток2!K54+Додаток3!K42+Додаток4!K41</f>
        <v>659.36</v>
      </c>
      <c r="L53" s="409">
        <f>Додаток2!L54+Додаток3!L42+Додаток4!L41</f>
        <v>3.24</v>
      </c>
      <c r="M53" s="407">
        <f>Додаток2!M54+Додаток3!M42+Додаток4!M41</f>
        <v>93.65</v>
      </c>
      <c r="N53" s="373">
        <f>Додаток2!N54+Додаток3!N42+Додаток4!N41</f>
        <v>67.28</v>
      </c>
      <c r="O53" s="373">
        <v>68.28</v>
      </c>
      <c r="P53" s="645">
        <v>2.5099999999999998</v>
      </c>
      <c r="Q53" s="1032">
        <f>Додаток2!Q54+Додаток3!Q42+Додаток4!Q41</f>
        <v>85.93</v>
      </c>
      <c r="R53" s="409">
        <f>Додаток2!R54+Додаток3!R42+Додаток4!R41</f>
        <v>3.24</v>
      </c>
      <c r="S53" s="639">
        <f>Додаток2!S54+Додаток3!S42+Додаток4!S41</f>
        <v>15.29</v>
      </c>
      <c r="T53" s="373">
        <f>Додаток2!T54+Додаток3!T42+Додаток4!T41</f>
        <v>10.34</v>
      </c>
      <c r="U53" s="373">
        <v>22.41</v>
      </c>
      <c r="V53" s="645">
        <v>2.5099999999999998</v>
      </c>
      <c r="W53" s="1032">
        <f>Додаток2!W54+Додаток3!W42+Додаток4!W41</f>
        <v>22.4</v>
      </c>
      <c r="X53" s="409">
        <f>Додаток2!X54+Додаток3!X42+Додаток4!X41</f>
        <v>3.24</v>
      </c>
      <c r="Y53" s="407">
        <f>Додаток2!Y54+Додаток3!Y42+Додаток4!Y41</f>
        <v>0.15</v>
      </c>
      <c r="Z53" s="373">
        <f>Додаток2!Z54+Додаток3!Z42+Додаток4!Z41</f>
        <v>0.12</v>
      </c>
      <c r="AA53" s="645">
        <v>2.5099999999999998</v>
      </c>
      <c r="AB53" s="1032">
        <f>Додаток2!AB54+Додаток3!AB42+Додаток4!AB41</f>
        <v>0.2</v>
      </c>
      <c r="AC53" s="409">
        <f>Додаток2!AC54+Додаток3!AC42+Додаток4!AC41</f>
        <v>3.24</v>
      </c>
      <c r="AD53" s="993">
        <f t="shared" si="0"/>
        <v>0</v>
      </c>
      <c r="AE53" s="287"/>
      <c r="AF53" s="287"/>
      <c r="AG53" s="287"/>
      <c r="AH53" s="287"/>
      <c r="AI53" s="287"/>
      <c r="AJ53" s="287"/>
      <c r="AK53" s="287"/>
      <c r="AL53" s="287"/>
      <c r="AM53" s="287"/>
      <c r="AN53" s="287"/>
      <c r="AO53" s="287"/>
      <c r="AP53" s="287"/>
      <c r="AQ53" s="287"/>
      <c r="AR53" s="287"/>
      <c r="AS53" s="287"/>
      <c r="AT53" s="287"/>
      <c r="AU53" s="287"/>
      <c r="AV53" s="287"/>
      <c r="AW53" s="287"/>
      <c r="AX53" s="287"/>
      <c r="AY53" s="287"/>
      <c r="AZ53" s="287"/>
      <c r="BA53" s="287"/>
      <c r="BB53" s="287"/>
      <c r="BC53" s="287"/>
      <c r="BD53" s="287"/>
      <c r="BE53" s="287"/>
      <c r="BF53" s="287"/>
      <c r="BG53" s="287"/>
      <c r="BH53" s="287"/>
      <c r="BI53" s="287"/>
      <c r="BJ53" s="287"/>
      <c r="BK53" s="287"/>
      <c r="BL53" s="287"/>
      <c r="BM53" s="287"/>
      <c r="BN53" s="287"/>
      <c r="BO53" s="287"/>
      <c r="BP53" s="287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  <c r="CC53" s="287"/>
      <c r="CD53" s="287"/>
      <c r="CE53" s="287"/>
      <c r="CF53" s="287"/>
      <c r="CG53" s="287"/>
      <c r="CH53" s="287"/>
      <c r="CI53" s="287"/>
      <c r="CJ53" s="287"/>
      <c r="CK53" s="287"/>
      <c r="CL53" s="287"/>
      <c r="CM53" s="287"/>
      <c r="CN53" s="287"/>
      <c r="CO53" s="287"/>
      <c r="CP53" s="287"/>
      <c r="CQ53" s="287"/>
      <c r="CR53" s="287"/>
      <c r="CS53" s="287"/>
      <c r="CT53" s="287"/>
      <c r="CU53" s="287"/>
      <c r="CV53" s="287"/>
      <c r="CW53" s="287"/>
      <c r="CX53" s="287"/>
      <c r="CY53" s="287"/>
    </row>
    <row r="54" spans="1:109" s="288" customFormat="1" ht="21.95" customHeight="1">
      <c r="A54" s="683" t="s">
        <v>61</v>
      </c>
      <c r="B54" s="897" t="s">
        <v>47</v>
      </c>
      <c r="C54" s="407">
        <f>Додаток2!C55+Додаток3!C43+Додаток4!C42</f>
        <v>47.79</v>
      </c>
      <c r="D54" s="373">
        <f>Додаток2!D55+Додаток3!D43+Додаток4!D42</f>
        <v>44.32</v>
      </c>
      <c r="E54" s="373">
        <f>Додаток2!E55+Додаток3!E43+Додаток4!E42</f>
        <v>26.81</v>
      </c>
      <c r="F54" s="409">
        <f>Додаток2!F55+Додаток3!F43+Додаток4!F42</f>
        <v>0.11</v>
      </c>
      <c r="G54" s="407">
        <f>Додаток2!G55+Додаток3!G43+Додаток4!G42</f>
        <v>32.21</v>
      </c>
      <c r="H54" s="373">
        <f>Додаток2!H55+Додаток3!H43+Додаток4!H42</f>
        <v>29.65</v>
      </c>
      <c r="I54" s="373">
        <f>Додаток2!I55+Додаток3!I43+Додаток4!I42</f>
        <v>0</v>
      </c>
      <c r="J54" s="373">
        <f>Додаток2!J55+Додаток3!J43+Додаток4!J42</f>
        <v>0</v>
      </c>
      <c r="K54" s="373">
        <f>Додаток2!K55+Додаток3!K43+Додаток4!K42</f>
        <v>23.02</v>
      </c>
      <c r="L54" s="409">
        <f>Додаток2!L55+Додаток3!L43+Додаток4!L42</f>
        <v>0.11</v>
      </c>
      <c r="M54" s="407">
        <f>Додаток2!M55+Додаток3!M43+Додаток4!M42</f>
        <v>5.23</v>
      </c>
      <c r="N54" s="373">
        <f>Додаток2!N55+Додаток3!N43+Додаток4!N42</f>
        <v>4.37</v>
      </c>
      <c r="O54" s="373">
        <v>0</v>
      </c>
      <c r="P54" s="645">
        <f>Додаток2!P55+Додаток3!P43+Додаток4!P42</f>
        <v>0</v>
      </c>
      <c r="Q54" s="1032">
        <f>Додаток2!Q55+Додаток3!Q43+Додаток4!Q42</f>
        <v>3</v>
      </c>
      <c r="R54" s="409">
        <f>Додаток2!R55+Додаток3!R43+Додаток4!R42</f>
        <v>0.11</v>
      </c>
      <c r="S54" s="639">
        <f>Додаток2!S55+Додаток3!S43+Додаток4!S42</f>
        <v>0.86</v>
      </c>
      <c r="T54" s="373">
        <f>Додаток2!T55+Додаток3!T43+Додаток4!T42</f>
        <v>0.67</v>
      </c>
      <c r="U54" s="373">
        <v>0</v>
      </c>
      <c r="V54" s="645">
        <f>[3]Додаток2!V55+[3]Додаток3!V43+[3]Додаток4!V42</f>
        <v>0</v>
      </c>
      <c r="W54" s="1032">
        <f>Додаток2!W55+Додаток3!W43+Додаток4!W42</f>
        <v>0.78</v>
      </c>
      <c r="X54" s="409">
        <f>Додаток2!X55+Додаток3!X43+Додаток4!X42</f>
        <v>0.11</v>
      </c>
      <c r="Y54" s="407">
        <f>Додаток2!Y55+Додаток3!Y43+Додаток4!Y42</f>
        <v>0.01</v>
      </c>
      <c r="Z54" s="373">
        <f>Додаток2!Z55+Додаток3!Z43+Додаток4!Z42</f>
        <v>0.01</v>
      </c>
      <c r="AA54" s="645">
        <f>[3]Додаток2!AA55+[3]Додаток3!AA43+[3]Додаток4!AA42</f>
        <v>0</v>
      </c>
      <c r="AB54" s="1032">
        <f>Додаток2!AB55+Додаток3!AB43+Додаток4!AB42</f>
        <v>0.01</v>
      </c>
      <c r="AC54" s="409">
        <f>Додаток2!AC55+Додаток3!AC43+Додаток4!AC42</f>
        <v>0.11</v>
      </c>
      <c r="AD54" s="993">
        <f t="shared" si="0"/>
        <v>0</v>
      </c>
      <c r="AE54" s="287"/>
      <c r="AF54" s="287"/>
      <c r="AG54" s="287"/>
      <c r="AH54" s="287"/>
      <c r="AI54" s="287"/>
      <c r="AJ54" s="287"/>
      <c r="AK54" s="287"/>
      <c r="AL54" s="287"/>
      <c r="AM54" s="287"/>
      <c r="AN54" s="287"/>
      <c r="AO54" s="287"/>
      <c r="AP54" s="287"/>
      <c r="AQ54" s="287"/>
      <c r="AR54" s="287"/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/>
      <c r="BD54" s="287"/>
      <c r="BE54" s="287"/>
      <c r="BF54" s="287"/>
      <c r="BG54" s="287"/>
      <c r="BH54" s="287"/>
      <c r="BI54" s="287"/>
      <c r="BJ54" s="287"/>
      <c r="BK54" s="287"/>
      <c r="BL54" s="287"/>
      <c r="BM54" s="287"/>
      <c r="BN54" s="287"/>
      <c r="BO54" s="287"/>
      <c r="BP54" s="287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287"/>
      <c r="CH54" s="287"/>
      <c r="CI54" s="287"/>
      <c r="CJ54" s="287"/>
      <c r="CK54" s="287"/>
      <c r="CL54" s="287"/>
      <c r="CM54" s="287"/>
      <c r="CN54" s="287"/>
      <c r="CO54" s="287"/>
      <c r="CP54" s="287"/>
      <c r="CQ54" s="287"/>
      <c r="CR54" s="287"/>
      <c r="CS54" s="287"/>
      <c r="CT54" s="287"/>
      <c r="CU54" s="287"/>
      <c r="CV54" s="287"/>
      <c r="CW54" s="287"/>
      <c r="CX54" s="287"/>
      <c r="CY54" s="287"/>
      <c r="CZ54" s="287"/>
      <c r="DA54" s="287"/>
      <c r="DB54" s="287"/>
      <c r="DC54" s="287"/>
      <c r="DD54" s="287"/>
      <c r="DE54" s="287"/>
    </row>
    <row r="55" spans="1:109" s="288" customFormat="1" ht="25.5" customHeight="1">
      <c r="A55" s="683" t="s">
        <v>429</v>
      </c>
      <c r="B55" s="897" t="s">
        <v>451</v>
      </c>
      <c r="C55" s="407">
        <f>Додаток2!C56+Додаток3!C44+Додаток4!C43</f>
        <v>267.94</v>
      </c>
      <c r="D55" s="373">
        <f>Додаток2!D56+Додаток3!D44+Додаток4!D43</f>
        <v>417.27</v>
      </c>
      <c r="E55" s="373">
        <f>Додаток2!E56+Додаток3!E44+Додаток4!E43</f>
        <v>247.35</v>
      </c>
      <c r="F55" s="409">
        <f>Додаток2!F56+Додаток3!F44+Додаток4!F43</f>
        <v>1.04</v>
      </c>
      <c r="G55" s="407">
        <f>Додаток2!G56+Додаток3!G44+Додаток4!G43</f>
        <v>183.01</v>
      </c>
      <c r="H55" s="373">
        <f>Додаток2!H56+Додаток3!H44+Додаток4!H43</f>
        <v>286.58999999999997</v>
      </c>
      <c r="I55" s="373">
        <v>359.75</v>
      </c>
      <c r="J55" s="373">
        <v>1.75</v>
      </c>
      <c r="K55" s="373">
        <f>Додаток2!K56+Додаток3!K44+Додаток4!K43</f>
        <v>212.4</v>
      </c>
      <c r="L55" s="409">
        <f>Додаток2!L56+Додаток3!L44+Додаток4!L43</f>
        <v>1.04</v>
      </c>
      <c r="M55" s="407">
        <f>Додаток2!M56+Додаток3!M44+Додаток4!M43</f>
        <v>29.72</v>
      </c>
      <c r="N55" s="373">
        <f>Додаток2!N56+Додаток3!N44+Додаток4!N43</f>
        <v>42.19</v>
      </c>
      <c r="O55" s="373">
        <v>47.74</v>
      </c>
      <c r="P55" s="645">
        <v>1.75</v>
      </c>
      <c r="Q55" s="1032">
        <f>Додаток2!Q56+Додаток3!Q44+Додаток4!Q43</f>
        <v>27.68</v>
      </c>
      <c r="R55" s="409">
        <f>Додаток2!R56+Додаток3!R44+Додаток4!R43</f>
        <v>1.04</v>
      </c>
      <c r="S55" s="639">
        <f>Додаток2!S56+Додаток3!S44+Додаток4!S43</f>
        <v>4.8499999999999996</v>
      </c>
      <c r="T55" s="373">
        <f>Додаток2!T56+Додаток3!T44+Додаток4!T43</f>
        <v>4.8600000000000003</v>
      </c>
      <c r="U55" s="373">
        <v>15.66</v>
      </c>
      <c r="V55" s="645">
        <v>1.75</v>
      </c>
      <c r="W55" s="1032">
        <f>Додаток2!W56+Додаток3!W44+Додаток4!W43</f>
        <v>7.21</v>
      </c>
      <c r="X55" s="409">
        <f>Додаток2!X56+Додаток3!X44+Додаток4!X43</f>
        <v>1.04</v>
      </c>
      <c r="Y55" s="407">
        <f>Додаток2!Y56+Додаток3!Y44+Додаток4!Y43</f>
        <v>0.05</v>
      </c>
      <c r="Z55" s="373">
        <f>Додаток2!Z56+Додаток3!Z44+Додаток4!Z43</f>
        <v>0.08</v>
      </c>
      <c r="AA55" s="645">
        <v>1.75</v>
      </c>
      <c r="AB55" s="1032">
        <f>Додаток2!AB56+Додаток3!AB44+Додаток4!AB43</f>
        <v>0.06</v>
      </c>
      <c r="AC55" s="409">
        <f>Додаток2!AC56+Додаток3!AC44+Додаток4!AC43</f>
        <v>1.04</v>
      </c>
      <c r="AD55" s="993">
        <f t="shared" si="0"/>
        <v>0</v>
      </c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287"/>
      <c r="CH55" s="287"/>
      <c r="CI55" s="287"/>
      <c r="CJ55" s="287"/>
      <c r="CK55" s="287"/>
      <c r="CL55" s="287"/>
      <c r="CM55" s="287"/>
      <c r="CN55" s="287"/>
      <c r="CO55" s="287"/>
      <c r="CP55" s="287"/>
      <c r="CQ55" s="287"/>
      <c r="CR55" s="287"/>
      <c r="CS55" s="287"/>
      <c r="CT55" s="287"/>
      <c r="CU55" s="287"/>
      <c r="CV55" s="287"/>
      <c r="CW55" s="287"/>
      <c r="CX55" s="287"/>
      <c r="CY55" s="287"/>
    </row>
    <row r="56" spans="1:109" s="292" customFormat="1" ht="21.95" customHeight="1">
      <c r="A56" s="682">
        <v>3</v>
      </c>
      <c r="B56" s="891" t="s">
        <v>202</v>
      </c>
      <c r="C56" s="407">
        <f>Додаток2!C57+Додаток3!C45+Додаток4!C44</f>
        <v>0</v>
      </c>
      <c r="D56" s="373">
        <f>Додаток2!D57+Додаток3!D45+Додаток4!D44</f>
        <v>0</v>
      </c>
      <c r="E56" s="373">
        <f>Додаток2!E57+Додаток3!E45+Додаток4!E44</f>
        <v>0</v>
      </c>
      <c r="F56" s="405">
        <f>E56/$E$69*1000</f>
        <v>0</v>
      </c>
      <c r="G56" s="863">
        <f>Додаток2!G57+Додаток3!G45+Додаток4!G44</f>
        <v>0</v>
      </c>
      <c r="H56" s="816">
        <f>Додаток2!H57+Додаток3!H45+Додаток4!H44</f>
        <v>0</v>
      </c>
      <c r="I56" s="372">
        <f>Додаток2!I57+Додаток3!I45+Додаток4!I44</f>
        <v>0</v>
      </c>
      <c r="J56" s="755">
        <f>I56/$I$69*1000</f>
        <v>0</v>
      </c>
      <c r="K56" s="372">
        <f>Додаток2!K57+Додаток3!K45+Додаток4!K44</f>
        <v>0</v>
      </c>
      <c r="L56" s="405">
        <f>K56/$K$69*1000</f>
        <v>0</v>
      </c>
      <c r="M56" s="863">
        <f>Додаток2!M57+Додаток3!M45+Додаток4!M44</f>
        <v>0</v>
      </c>
      <c r="N56" s="816">
        <f>Додаток2!N57+Додаток3!N45+Додаток4!N44</f>
        <v>0</v>
      </c>
      <c r="O56" s="372">
        <f>Додаток2!O57+Додаток3!O45+Додаток4!O44</f>
        <v>0</v>
      </c>
      <c r="P56" s="878">
        <f>O56/$O$69*1000</f>
        <v>0</v>
      </c>
      <c r="Q56" s="1031">
        <f>Додаток2!Q57+Додаток3!Q45+Додаток4!Q44</f>
        <v>0</v>
      </c>
      <c r="R56" s="405">
        <f>Q56/$Q$69*1000</f>
        <v>0</v>
      </c>
      <c r="S56" s="1024">
        <f>Додаток2!S57+Додаток3!S45+Додаток4!S44</f>
        <v>0</v>
      </c>
      <c r="T56" s="816">
        <f>Додаток2!T57+Додаток3!T45+Додаток4!T44</f>
        <v>0</v>
      </c>
      <c r="U56" s="372">
        <f>Додаток2!U57+Додаток3!U45+Додаток4!U44</f>
        <v>0</v>
      </c>
      <c r="V56" s="878">
        <f>U56/$U$69*1000</f>
        <v>0</v>
      </c>
      <c r="W56" s="1031">
        <f>Додаток2!W57+Додаток3!W45+Додаток4!W44</f>
        <v>0</v>
      </c>
      <c r="X56" s="405">
        <f>W56/$W$69*1000</f>
        <v>0</v>
      </c>
      <c r="Y56" s="863">
        <f>Додаток2!Y57+Додаток3!Y45+Додаток4!Y44</f>
        <v>0</v>
      </c>
      <c r="Z56" s="816">
        <f>Додаток2!Z57+Додаток3!Z45+Додаток4!Z44</f>
        <v>0</v>
      </c>
      <c r="AA56" s="879">
        <f>Додаток2!AA57+Додаток3!AA45+Додаток4!AA44</f>
        <v>0</v>
      </c>
      <c r="AB56" s="1031">
        <f>Додаток2!AB57+Додаток3!AB45+Додаток4!AB44</f>
        <v>0</v>
      </c>
      <c r="AC56" s="405">
        <f>AB56/$AB$69*1000</f>
        <v>0</v>
      </c>
      <c r="AD56" s="993">
        <f t="shared" si="0"/>
        <v>0</v>
      </c>
      <c r="AE56" s="646"/>
      <c r="AF56" s="646"/>
      <c r="AG56" s="646"/>
      <c r="AH56" s="646"/>
      <c r="AI56" s="646"/>
      <c r="AJ56" s="646"/>
      <c r="AK56" s="646"/>
      <c r="AL56" s="646"/>
      <c r="AM56" s="646"/>
      <c r="AN56" s="646"/>
      <c r="AO56" s="646"/>
      <c r="AP56" s="646"/>
      <c r="AQ56" s="646"/>
      <c r="AR56" s="646"/>
      <c r="AS56" s="646"/>
      <c r="AT56" s="646"/>
      <c r="AU56" s="646"/>
      <c r="AV56" s="646"/>
      <c r="AW56" s="646"/>
      <c r="AX56" s="646"/>
      <c r="AY56" s="646"/>
      <c r="AZ56" s="646"/>
      <c r="BA56" s="646"/>
      <c r="BB56" s="646"/>
      <c r="BC56" s="646"/>
      <c r="BD56" s="646"/>
      <c r="BE56" s="646"/>
      <c r="BF56" s="646"/>
      <c r="BG56" s="646"/>
      <c r="BH56" s="646"/>
      <c r="BI56" s="646"/>
      <c r="BJ56" s="646"/>
      <c r="BK56" s="646"/>
      <c r="BL56" s="646"/>
      <c r="BM56" s="646"/>
      <c r="BN56" s="646"/>
      <c r="BO56" s="646"/>
      <c r="BP56" s="646"/>
      <c r="BQ56" s="646"/>
      <c r="BR56" s="646"/>
      <c r="BS56" s="646"/>
      <c r="BT56" s="646"/>
      <c r="BU56" s="646"/>
      <c r="BV56" s="646"/>
      <c r="BW56" s="646"/>
      <c r="BX56" s="646"/>
      <c r="BY56" s="646"/>
      <c r="BZ56" s="646"/>
      <c r="CA56" s="646"/>
      <c r="CB56" s="646"/>
      <c r="CC56" s="646"/>
      <c r="CD56" s="646"/>
      <c r="CE56" s="646"/>
      <c r="CF56" s="646"/>
      <c r="CG56" s="646"/>
      <c r="CH56" s="646"/>
      <c r="CI56" s="646"/>
      <c r="CJ56" s="646"/>
      <c r="CK56" s="646"/>
      <c r="CL56" s="646"/>
      <c r="CM56" s="646"/>
      <c r="CN56" s="646"/>
      <c r="CO56" s="646"/>
      <c r="CP56" s="646"/>
      <c r="CQ56" s="646"/>
      <c r="CR56" s="646"/>
      <c r="CS56" s="646"/>
      <c r="CT56" s="646"/>
      <c r="CU56" s="646"/>
      <c r="CV56" s="646"/>
      <c r="CW56" s="646"/>
      <c r="CX56" s="646"/>
      <c r="CY56" s="646"/>
    </row>
    <row r="57" spans="1:109" s="290" customFormat="1" ht="21.95" customHeight="1">
      <c r="A57" s="683" t="s">
        <v>372</v>
      </c>
      <c r="B57" s="897" t="s">
        <v>103</v>
      </c>
      <c r="C57" s="407">
        <f>Додаток2!C58+Додаток3!C46+Додаток4!C45</f>
        <v>0</v>
      </c>
      <c r="D57" s="373">
        <f>Додаток2!D58+Додаток3!D46+Додаток4!D45</f>
        <v>0</v>
      </c>
      <c r="E57" s="373">
        <f>Додаток2!E58+Додаток3!E46+Додаток4!E45</f>
        <v>0</v>
      </c>
      <c r="F57" s="408">
        <f>E57/$E$69*1000</f>
        <v>0</v>
      </c>
      <c r="G57" s="864">
        <v>0</v>
      </c>
      <c r="H57" s="817">
        <v>0</v>
      </c>
      <c r="I57" s="756">
        <v>0</v>
      </c>
      <c r="J57" s="756">
        <f>I57/$I$69*1000</f>
        <v>0</v>
      </c>
      <c r="K57" s="373">
        <v>0</v>
      </c>
      <c r="L57" s="408">
        <v>0</v>
      </c>
      <c r="M57" s="864">
        <v>0</v>
      </c>
      <c r="N57" s="817">
        <v>0</v>
      </c>
      <c r="O57" s="756">
        <v>0</v>
      </c>
      <c r="P57" s="877">
        <v>0</v>
      </c>
      <c r="Q57" s="1032">
        <v>0</v>
      </c>
      <c r="R57" s="408">
        <v>0</v>
      </c>
      <c r="S57" s="1026">
        <v>0</v>
      </c>
      <c r="T57" s="817">
        <v>0</v>
      </c>
      <c r="U57" s="756">
        <v>0</v>
      </c>
      <c r="V57" s="877">
        <v>0</v>
      </c>
      <c r="W57" s="1032">
        <v>0</v>
      </c>
      <c r="X57" s="408">
        <v>0</v>
      </c>
      <c r="Y57" s="864">
        <v>0</v>
      </c>
      <c r="Z57" s="817">
        <v>0</v>
      </c>
      <c r="AA57" s="877">
        <v>0</v>
      </c>
      <c r="AB57" s="1032">
        <v>0</v>
      </c>
      <c r="AC57" s="408">
        <v>0</v>
      </c>
      <c r="AD57" s="993">
        <f t="shared" si="0"/>
        <v>0</v>
      </c>
    </row>
    <row r="58" spans="1:109" s="290" customFormat="1" ht="21.95" customHeight="1">
      <c r="A58" s="683" t="s">
        <v>374</v>
      </c>
      <c r="B58" s="897" t="s">
        <v>65</v>
      </c>
      <c r="C58" s="407">
        <f>Додаток2!C59+Додаток3!C47+Додаток4!C46</f>
        <v>0</v>
      </c>
      <c r="D58" s="373">
        <f>Додаток2!D59+Додаток3!D47+Додаток4!D46</f>
        <v>0</v>
      </c>
      <c r="E58" s="373">
        <f>Додаток2!E59+Додаток3!E47+Додаток4!E46</f>
        <v>0</v>
      </c>
      <c r="F58" s="408">
        <f>E58/$E$69*1000</f>
        <v>0</v>
      </c>
      <c r="G58" s="864">
        <v>0</v>
      </c>
      <c r="H58" s="817">
        <v>0</v>
      </c>
      <c r="I58" s="756">
        <v>0</v>
      </c>
      <c r="J58" s="756">
        <v>0</v>
      </c>
      <c r="K58" s="373">
        <v>0</v>
      </c>
      <c r="L58" s="408">
        <v>0</v>
      </c>
      <c r="M58" s="864">
        <v>0</v>
      </c>
      <c r="N58" s="817">
        <v>0</v>
      </c>
      <c r="O58" s="756">
        <v>0</v>
      </c>
      <c r="P58" s="877">
        <v>0</v>
      </c>
      <c r="Q58" s="1032">
        <v>0</v>
      </c>
      <c r="R58" s="408">
        <v>0</v>
      </c>
      <c r="S58" s="1026">
        <v>0</v>
      </c>
      <c r="T58" s="817">
        <v>0</v>
      </c>
      <c r="U58" s="756">
        <v>0</v>
      </c>
      <c r="V58" s="877">
        <v>0</v>
      </c>
      <c r="W58" s="1032">
        <v>0</v>
      </c>
      <c r="X58" s="408">
        <v>0</v>
      </c>
      <c r="Y58" s="864">
        <v>0</v>
      </c>
      <c r="Z58" s="817">
        <v>0</v>
      </c>
      <c r="AA58" s="877">
        <v>0</v>
      </c>
      <c r="AB58" s="1032">
        <v>0</v>
      </c>
      <c r="AC58" s="408">
        <v>0</v>
      </c>
      <c r="AD58" s="993">
        <f t="shared" si="0"/>
        <v>0</v>
      </c>
    </row>
    <row r="59" spans="1:109" s="285" customFormat="1" ht="21.95" customHeight="1">
      <c r="A59" s="682" t="s">
        <v>375</v>
      </c>
      <c r="B59" s="900" t="s">
        <v>100</v>
      </c>
      <c r="C59" s="777">
        <f>Додаток2!C60+Додаток3!C48+Додаток4!C47</f>
        <v>116029.9</v>
      </c>
      <c r="D59" s="372">
        <f ca="1">Додаток2!D60+Додаток3!D48+Додаток4!D47</f>
        <v>180056.78</v>
      </c>
      <c r="E59" s="372">
        <f>Додаток2!E60+Додаток3!E48+Додаток4!E47</f>
        <v>294055.3</v>
      </c>
      <c r="F59" s="763">
        <f>Додаток2!F60+Додаток3!F48+Додаток4!F47</f>
        <v>1241.4000000000001</v>
      </c>
      <c r="G59" s="406">
        <f t="shared" ref="G59:AC59" ca="1" si="1">G9+G42</f>
        <v>102803.14</v>
      </c>
      <c r="H59" s="755">
        <f t="shared" ca="1" si="1"/>
        <v>131963.95000000001</v>
      </c>
      <c r="I59" s="755">
        <v>239487.84</v>
      </c>
      <c r="J59" s="755">
        <v>1166.48</v>
      </c>
      <c r="K59" s="755">
        <f t="shared" si="1"/>
        <v>238241.25</v>
      </c>
      <c r="L59" s="405">
        <f t="shared" si="1"/>
        <v>1171.3</v>
      </c>
      <c r="M59" s="406">
        <f t="shared" ca="1" si="1"/>
        <v>35318.78</v>
      </c>
      <c r="N59" s="755">
        <f t="shared" ca="1" si="1"/>
        <v>31241.040000000001</v>
      </c>
      <c r="O59" s="755">
        <v>31916.21</v>
      </c>
      <c r="P59" s="878">
        <v>1171.49</v>
      </c>
      <c r="Q59" s="1033">
        <f t="shared" si="1"/>
        <v>44236.79</v>
      </c>
      <c r="R59" s="405">
        <f t="shared" si="1"/>
        <v>1668.86</v>
      </c>
      <c r="S59" s="883">
        <f t="shared" ca="1" si="1"/>
        <v>6180.12</v>
      </c>
      <c r="T59" s="755">
        <f t="shared" ca="1" si="1"/>
        <v>5284.16</v>
      </c>
      <c r="U59" s="755">
        <f t="shared" si="1"/>
        <v>13570.03</v>
      </c>
      <c r="V59" s="878">
        <f t="shared" si="1"/>
        <v>1518.1</v>
      </c>
      <c r="W59" s="1033">
        <f t="shared" si="1"/>
        <v>11529.92</v>
      </c>
      <c r="X59" s="405">
        <f t="shared" si="1"/>
        <v>1668.86</v>
      </c>
      <c r="Y59" s="406">
        <f t="shared" ca="1" si="1"/>
        <v>38.520000000000003</v>
      </c>
      <c r="Z59" s="755">
        <f t="shared" ca="1" si="1"/>
        <v>28.36</v>
      </c>
      <c r="AA59" s="878">
        <f t="shared" si="1"/>
        <v>789.42</v>
      </c>
      <c r="AB59" s="1033">
        <f t="shared" si="1"/>
        <v>47.34</v>
      </c>
      <c r="AC59" s="405">
        <f t="shared" si="1"/>
        <v>777.97</v>
      </c>
      <c r="AD59" s="993">
        <f t="shared" si="0"/>
        <v>0</v>
      </c>
    </row>
    <row r="60" spans="1:109" s="285" customFormat="1" ht="21.95" customHeight="1">
      <c r="A60" s="682" t="s">
        <v>376</v>
      </c>
      <c r="B60" s="900" t="s">
        <v>373</v>
      </c>
      <c r="C60" s="407">
        <f>Додаток2!C61+Додаток3!C49+Додаток4!C48</f>
        <v>0</v>
      </c>
      <c r="D60" s="373">
        <f>Додаток2!D61+Додаток3!D49+Додаток4!D48</f>
        <v>0</v>
      </c>
      <c r="E60" s="373">
        <f>Додаток2!E61+Додаток3!E49+Додаток4!E48</f>
        <v>0</v>
      </c>
      <c r="F60" s="409">
        <f>Додаток2!F61+Додаток3!F49+Додаток4!F48</f>
        <v>0</v>
      </c>
      <c r="G60" s="407">
        <f>Додаток2!G61+Додаток3!G49+Додаток4!G48</f>
        <v>0</v>
      </c>
      <c r="H60" s="373">
        <f>Додаток2!H61+Додаток3!H49+Додаток4!H48</f>
        <v>0</v>
      </c>
      <c r="I60" s="373">
        <f>Додаток2!I61+Додаток3!I49+Додаток4!I48</f>
        <v>0</v>
      </c>
      <c r="J60" s="373">
        <f>Додаток2!J61+Додаток3!J49+Додаток4!J48</f>
        <v>0</v>
      </c>
      <c r="K60" s="373">
        <f>Додаток2!K61+Додаток3!K49+Додаток4!K48</f>
        <v>0</v>
      </c>
      <c r="L60" s="409">
        <f>Додаток2!L61+Додаток3!L49+Додаток4!L48</f>
        <v>0</v>
      </c>
      <c r="M60" s="407">
        <f>Додаток2!M61+Додаток3!M49+Додаток4!M48</f>
        <v>0</v>
      </c>
      <c r="N60" s="373">
        <f>Додаток2!N61+Додаток3!N49+Додаток4!N48</f>
        <v>0</v>
      </c>
      <c r="O60" s="373">
        <v>2520.35</v>
      </c>
      <c r="P60" s="645">
        <v>92.51</v>
      </c>
      <c r="Q60" s="1032">
        <f>Додаток2!Q61+Додаток3!Q49+Додаток4!Q48</f>
        <v>0</v>
      </c>
      <c r="R60" s="409">
        <f>Додаток2!R61+Додаток3!R49+Додаток4!R48</f>
        <v>0</v>
      </c>
      <c r="S60" s="639">
        <f>Додаток2!S61+Додаток3!S49+Додаток4!S48</f>
        <v>0</v>
      </c>
      <c r="T60" s="373">
        <f>Додаток2!T61+Додаток3!T49+Додаток4!T48</f>
        <v>0</v>
      </c>
      <c r="U60" s="373">
        <f>Додаток2!U61+Додаток3!U49+Додаток4!U48</f>
        <v>826.93</v>
      </c>
      <c r="V60" s="645">
        <f>Додаток2!V61+Додаток3!V49+Додаток4!V48</f>
        <v>92.51</v>
      </c>
      <c r="W60" s="1032">
        <f>Додаток2!W61+Додаток3!W49+Додаток4!W48</f>
        <v>0</v>
      </c>
      <c r="X60" s="409">
        <f>Додаток2!X61+Додаток3!X49+Додаток4!X48</f>
        <v>0</v>
      </c>
      <c r="Y60" s="407">
        <f>Додаток2!Y61+Додаток3!Y49+Додаток4!Y48</f>
        <v>0</v>
      </c>
      <c r="Z60" s="373">
        <f>Додаток2!Z61+Додаток3!Z49+Додаток4!Z48</f>
        <v>0</v>
      </c>
      <c r="AA60" s="645">
        <f>Додаток2!AA61+Додаток3!AA49+Додаток4!AA48</f>
        <v>0</v>
      </c>
      <c r="AB60" s="1032">
        <f>Додаток2!AB61+Додаток3!AB49+Додаток4!AB48</f>
        <v>0</v>
      </c>
      <c r="AC60" s="409">
        <f>Додаток2!AC61+Додаток3!AC49+Додаток4!AC48</f>
        <v>0</v>
      </c>
      <c r="AD60" s="993">
        <f t="shared" si="0"/>
        <v>0</v>
      </c>
    </row>
    <row r="61" spans="1:109" s="285" customFormat="1" ht="21.95" customHeight="1">
      <c r="A61" s="682">
        <v>7</v>
      </c>
      <c r="B61" s="901" t="s">
        <v>140</v>
      </c>
      <c r="C61" s="407">
        <f>Додаток2!C62+Додаток3!C50+Додаток4!C49</f>
        <v>0</v>
      </c>
      <c r="D61" s="373">
        <f>Додаток2!D62+Додаток3!D50+Додаток4!D49</f>
        <v>0</v>
      </c>
      <c r="E61" s="373">
        <f>Додаток2!E62+Додаток3!E50+Додаток4!E49</f>
        <v>0</v>
      </c>
      <c r="F61" s="409">
        <f>Додаток2!F62+Додаток3!F50+Додаток4!F49</f>
        <v>0</v>
      </c>
      <c r="G61" s="407">
        <f>Додаток2!G62+Додаток3!G50+Додаток4!G49</f>
        <v>0</v>
      </c>
      <c r="H61" s="373">
        <f>Додаток2!H62+Додаток3!H50+Додаток4!H49</f>
        <v>0</v>
      </c>
      <c r="I61" s="373">
        <f>Додаток2!I62+Додаток3!I50+Додаток4!I49</f>
        <v>0</v>
      </c>
      <c r="J61" s="373">
        <f>Додаток2!J62+Додаток3!J50+Додаток4!J49</f>
        <v>0</v>
      </c>
      <c r="K61" s="373">
        <f>Додаток2!K62+Додаток3!K50+Додаток4!K49</f>
        <v>0</v>
      </c>
      <c r="L61" s="409">
        <f>Додаток2!L62+Додаток3!L50+Додаток4!L49</f>
        <v>0</v>
      </c>
      <c r="M61" s="407">
        <f>Додаток2!M62+Додаток3!M50+Додаток4!M49</f>
        <v>0</v>
      </c>
      <c r="N61" s="373">
        <f>Додаток2!N62+Додаток3!N50+Додаток4!N49</f>
        <v>0</v>
      </c>
      <c r="O61" s="373">
        <f>Додаток2!O62+Додаток3!O50+Додаток4!O49</f>
        <v>0</v>
      </c>
      <c r="P61" s="645">
        <f>Додаток2!P62+Додаток3!P50+Додаток4!P49</f>
        <v>0</v>
      </c>
      <c r="Q61" s="1032">
        <f>Додаток2!Q62+Додаток3!Q50+Додаток4!Q49</f>
        <v>0</v>
      </c>
      <c r="R61" s="409">
        <f>Додаток2!R62+Додаток3!R50+Додаток4!R49</f>
        <v>0</v>
      </c>
      <c r="S61" s="639">
        <f>Додаток2!S62+Додаток3!S50+Додаток4!S49</f>
        <v>0</v>
      </c>
      <c r="T61" s="373">
        <f>Додаток2!T62+Додаток3!T50+Додаток4!T49</f>
        <v>0</v>
      </c>
      <c r="U61" s="373">
        <f>Додаток2!U62+Додаток3!U50+Додаток4!U49</f>
        <v>0</v>
      </c>
      <c r="V61" s="645">
        <f>Додаток2!V62+Додаток3!V50+Додаток4!V49</f>
        <v>0</v>
      </c>
      <c r="W61" s="1032">
        <f>Додаток2!W62+Додаток3!W50+Додаток4!W49</f>
        <v>0</v>
      </c>
      <c r="X61" s="409">
        <f>Додаток2!X62+Додаток3!X50+Додаток4!X49</f>
        <v>0</v>
      </c>
      <c r="Y61" s="407">
        <f>Додаток2!Y62+Додаток3!Y50+Додаток4!Y49</f>
        <v>0</v>
      </c>
      <c r="Z61" s="373">
        <f>Додаток2!Z62+Додаток3!Z50+Додаток4!Z49</f>
        <v>0</v>
      </c>
      <c r="AA61" s="645">
        <f>Додаток2!AA62+Додаток3!AA50+Додаток4!AA49</f>
        <v>0</v>
      </c>
      <c r="AB61" s="1032">
        <f>Додаток2!AB62+Додаток3!AB50+Додаток4!AB49</f>
        <v>0</v>
      </c>
      <c r="AC61" s="409">
        <f>Додаток2!AC62+Додаток3!AC50+Додаток4!AC49</f>
        <v>0</v>
      </c>
      <c r="AD61" s="993">
        <f t="shared" si="0"/>
        <v>0</v>
      </c>
    </row>
    <row r="62" spans="1:109" s="288" customFormat="1" ht="18" customHeight="1">
      <c r="A62" s="683" t="s">
        <v>66</v>
      </c>
      <c r="B62" s="897" t="s">
        <v>67</v>
      </c>
      <c r="C62" s="407">
        <f>Додаток2!C63+Додаток3!C51+Додаток4!C50</f>
        <v>0</v>
      </c>
      <c r="D62" s="373">
        <f>Додаток2!D63+Додаток3!D51+Додаток4!D50</f>
        <v>0</v>
      </c>
      <c r="E62" s="373">
        <f>Додаток2!E63+Додаток3!E51+Додаток4!E50</f>
        <v>0</v>
      </c>
      <c r="F62" s="409">
        <f>Додаток2!F63+Додаток3!F51+Додаток4!F50</f>
        <v>0</v>
      </c>
      <c r="G62" s="407">
        <f>Додаток2!G63+Додаток3!G51+Додаток4!G50</f>
        <v>0</v>
      </c>
      <c r="H62" s="373">
        <f>Додаток2!H63+Додаток3!H51+Додаток4!H50</f>
        <v>0</v>
      </c>
      <c r="I62" s="373">
        <f>Додаток2!I63+Додаток3!I51+Додаток4!I50</f>
        <v>0</v>
      </c>
      <c r="J62" s="373">
        <f>Додаток2!J63+Додаток3!J51+Додаток4!J50</f>
        <v>0</v>
      </c>
      <c r="K62" s="373">
        <f>Додаток2!K63+Додаток3!K51+Додаток4!K50</f>
        <v>0</v>
      </c>
      <c r="L62" s="409">
        <f>Додаток2!L63+Додаток3!L51+Додаток4!L50</f>
        <v>0</v>
      </c>
      <c r="M62" s="407">
        <f>Додаток2!M63+Додаток3!M51+Додаток4!M50</f>
        <v>0</v>
      </c>
      <c r="N62" s="373">
        <f>Додаток2!N63+Додаток3!N51+Додаток4!N50</f>
        <v>0</v>
      </c>
      <c r="O62" s="373">
        <f>Додаток2!O63+Додаток3!O51+Додаток4!O50</f>
        <v>0</v>
      </c>
      <c r="P62" s="645">
        <f>Додаток2!P63+Додаток3!P51+Додаток4!P50</f>
        <v>0</v>
      </c>
      <c r="Q62" s="1032">
        <f>Додаток2!Q63+Додаток3!Q51+Додаток4!Q50</f>
        <v>0</v>
      </c>
      <c r="R62" s="409">
        <f>Додаток2!R63+Додаток3!R51+Додаток4!R50</f>
        <v>0</v>
      </c>
      <c r="S62" s="639">
        <f>Додаток2!S63+Додаток3!S51+Додаток4!S50</f>
        <v>0</v>
      </c>
      <c r="T62" s="373">
        <f>Додаток2!T63+Додаток3!T51+Додаток4!T50</f>
        <v>0</v>
      </c>
      <c r="U62" s="373">
        <f>Додаток2!U63+Додаток3!U51+Додаток4!U50</f>
        <v>0</v>
      </c>
      <c r="V62" s="645">
        <f>Додаток2!V63+Додаток3!V51+Додаток4!V50</f>
        <v>0</v>
      </c>
      <c r="W62" s="1032">
        <f>Додаток2!W63+Додаток3!W51+Додаток4!W50</f>
        <v>0</v>
      </c>
      <c r="X62" s="409">
        <f>Додаток2!X63+Додаток3!X51+Додаток4!X50</f>
        <v>0</v>
      </c>
      <c r="Y62" s="407">
        <f>Додаток2!Y63+Додаток3!Y51+Додаток4!Y50</f>
        <v>0</v>
      </c>
      <c r="Z62" s="373">
        <f>Додаток2!Z63+Додаток3!Z51+Додаток4!Z50</f>
        <v>0</v>
      </c>
      <c r="AA62" s="645">
        <f>Додаток2!AA63+Додаток3!AA51+Додаток4!AA50</f>
        <v>0</v>
      </c>
      <c r="AB62" s="1032">
        <f>Додаток2!AB63+Додаток3!AB51+Додаток4!AB50</f>
        <v>0</v>
      </c>
      <c r="AC62" s="409">
        <f>Додаток2!AC63+Додаток3!AC51+Додаток4!AC50</f>
        <v>0</v>
      </c>
      <c r="AD62" s="993">
        <f t="shared" si="0"/>
        <v>0</v>
      </c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  <c r="AY62" s="287"/>
      <c r="AZ62" s="287"/>
      <c r="BA62" s="287"/>
      <c r="BB62" s="287"/>
      <c r="BC62" s="287"/>
      <c r="BD62" s="287"/>
      <c r="BE62" s="287"/>
      <c r="BF62" s="287"/>
      <c r="BG62" s="287"/>
      <c r="BH62" s="287"/>
      <c r="BI62" s="287"/>
      <c r="BJ62" s="287"/>
      <c r="BK62" s="287"/>
      <c r="BL62" s="287"/>
      <c r="BM62" s="287"/>
      <c r="BN62" s="287"/>
      <c r="BO62" s="287"/>
      <c r="BP62" s="287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  <c r="CC62" s="287"/>
      <c r="CD62" s="287"/>
      <c r="CE62" s="287"/>
      <c r="CF62" s="287"/>
      <c r="CG62" s="287"/>
      <c r="CH62" s="287"/>
      <c r="CI62" s="287"/>
      <c r="CJ62" s="287"/>
      <c r="CK62" s="287"/>
      <c r="CL62" s="287"/>
      <c r="CM62" s="287"/>
      <c r="CN62" s="287"/>
      <c r="CO62" s="287"/>
      <c r="CP62" s="287"/>
      <c r="CQ62" s="287"/>
      <c r="CR62" s="287"/>
      <c r="CS62" s="287"/>
      <c r="CT62" s="287"/>
      <c r="CU62" s="287"/>
      <c r="CV62" s="287"/>
      <c r="CW62" s="287"/>
      <c r="CX62" s="287"/>
      <c r="CY62" s="287"/>
    </row>
    <row r="63" spans="1:109" s="288" customFormat="1" ht="18" customHeight="1">
      <c r="A63" s="683" t="s">
        <v>68</v>
      </c>
      <c r="B63" s="897" t="s">
        <v>69</v>
      </c>
      <c r="C63" s="407">
        <f>Додаток2!C64+Додаток3!C52+Додаток4!C51</f>
        <v>0</v>
      </c>
      <c r="D63" s="373">
        <f>Додаток2!D64+Додаток3!D52+Додаток4!D51</f>
        <v>0</v>
      </c>
      <c r="E63" s="373">
        <f>Додаток2!E64+Додаток3!E52+Додаток4!E51</f>
        <v>0</v>
      </c>
      <c r="F63" s="409">
        <f>Додаток2!F64+Додаток3!F52+Додаток4!F51</f>
        <v>0</v>
      </c>
      <c r="G63" s="407">
        <f>Додаток2!G64+Додаток3!G52+Додаток4!G51</f>
        <v>0</v>
      </c>
      <c r="H63" s="373">
        <f>Додаток2!H64+Додаток3!H52+Додаток4!H51</f>
        <v>0</v>
      </c>
      <c r="I63" s="373">
        <f>Додаток2!I64+Додаток3!I52+Додаток4!I51</f>
        <v>0</v>
      </c>
      <c r="J63" s="373">
        <f>Додаток2!J64+Додаток3!J52+Додаток4!J51</f>
        <v>0</v>
      </c>
      <c r="K63" s="373">
        <f>Додаток2!K64+Додаток3!K52+Додаток4!K51</f>
        <v>0</v>
      </c>
      <c r="L63" s="409">
        <f>Додаток2!L64+Додаток3!L52+Додаток4!L51</f>
        <v>0</v>
      </c>
      <c r="M63" s="407">
        <f>Додаток2!M64+Додаток3!M52+Додаток4!M51</f>
        <v>0</v>
      </c>
      <c r="N63" s="373">
        <f>Додаток2!N64+Додаток3!N52+Додаток4!N51</f>
        <v>0</v>
      </c>
      <c r="O63" s="373">
        <f>Додаток2!O64+Додаток3!O52+Додаток4!O51</f>
        <v>0</v>
      </c>
      <c r="P63" s="645">
        <f>Додаток2!P64+Додаток3!P52+Додаток4!P51</f>
        <v>0</v>
      </c>
      <c r="Q63" s="1032">
        <f>Додаток2!Q64+Додаток3!Q52+Додаток4!Q51</f>
        <v>0</v>
      </c>
      <c r="R63" s="409">
        <f>Додаток2!R64+Додаток3!R52+Додаток4!R51</f>
        <v>0</v>
      </c>
      <c r="S63" s="639">
        <f>Додаток2!S64+Додаток3!S52+Додаток4!S51</f>
        <v>0</v>
      </c>
      <c r="T63" s="373">
        <f>Додаток2!T64+Додаток3!T52+Додаток4!T51</f>
        <v>0</v>
      </c>
      <c r="U63" s="373">
        <f>Додаток2!U64+Додаток3!U52+Додаток4!U51</f>
        <v>0</v>
      </c>
      <c r="V63" s="645">
        <f>Додаток2!V64+Додаток3!V52+Додаток4!V51</f>
        <v>0</v>
      </c>
      <c r="W63" s="1032">
        <f>Додаток2!W64+Додаток3!W52+Додаток4!W51</f>
        <v>0</v>
      </c>
      <c r="X63" s="409">
        <f>Додаток2!X64+Додаток3!X52+Додаток4!X51</f>
        <v>0</v>
      </c>
      <c r="Y63" s="407">
        <f>Додаток2!Y64+Додаток3!Y52+Додаток4!Y51</f>
        <v>0</v>
      </c>
      <c r="Z63" s="373">
        <f>Додаток2!Z64+Додаток3!Z52+Додаток4!Z51</f>
        <v>0</v>
      </c>
      <c r="AA63" s="645">
        <f>Додаток2!AA64+Додаток3!AA52+Додаток4!AA51</f>
        <v>0</v>
      </c>
      <c r="AB63" s="1032">
        <f>Додаток2!AB64+Додаток3!AB52+Додаток4!AB51</f>
        <v>0</v>
      </c>
      <c r="AC63" s="409">
        <f>Додаток2!AC64+Додаток3!AC52+Додаток4!AC51</f>
        <v>0</v>
      </c>
      <c r="AD63" s="993">
        <f t="shared" si="0"/>
        <v>0</v>
      </c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/>
      <c r="BF63" s="287"/>
      <c r="BG63" s="287"/>
      <c r="BH63" s="287"/>
      <c r="BI63" s="287"/>
      <c r="BJ63" s="287"/>
      <c r="BK63" s="287"/>
      <c r="BL63" s="287"/>
      <c r="BM63" s="287"/>
      <c r="BN63" s="287"/>
      <c r="BO63" s="287"/>
      <c r="BP63" s="287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  <c r="CC63" s="287"/>
      <c r="CD63" s="287"/>
      <c r="CE63" s="287"/>
      <c r="CF63" s="287"/>
      <c r="CG63" s="287"/>
      <c r="CH63" s="287"/>
      <c r="CI63" s="287"/>
      <c r="CJ63" s="287"/>
      <c r="CK63" s="287"/>
      <c r="CL63" s="287"/>
      <c r="CM63" s="287"/>
      <c r="CN63" s="287"/>
      <c r="CO63" s="287"/>
      <c r="CP63" s="287"/>
      <c r="CQ63" s="287"/>
      <c r="CR63" s="287"/>
      <c r="CS63" s="287"/>
      <c r="CT63" s="287"/>
      <c r="CU63" s="287"/>
      <c r="CV63" s="287"/>
      <c r="CW63" s="287"/>
      <c r="CX63" s="287"/>
      <c r="CY63" s="287"/>
    </row>
    <row r="64" spans="1:109" s="288" customFormat="1" ht="18" customHeight="1">
      <c r="A64" s="683" t="s">
        <v>68</v>
      </c>
      <c r="B64" s="897" t="str">
        <f>'Додаток2 скор'!B56</f>
        <v xml:space="preserve">резервний фонд (капітал) та дивіденди </v>
      </c>
      <c r="C64" s="407">
        <f>Додаток2!C65+Додаток3!C53+Додаток4!C52</f>
        <v>0</v>
      </c>
      <c r="D64" s="373">
        <f>Додаток2!D65+Додаток3!D53+Додаток4!D52</f>
        <v>0</v>
      </c>
      <c r="E64" s="373">
        <f>Додаток2!E65+Додаток3!E53+Додаток4!E52</f>
        <v>0</v>
      </c>
      <c r="F64" s="409">
        <f>Додаток2!F65+Додаток3!F53+Додаток4!F52</f>
        <v>0</v>
      </c>
      <c r="G64" s="407">
        <f>Додаток2!G65+Додаток3!G53+Додаток4!G52</f>
        <v>0</v>
      </c>
      <c r="H64" s="373">
        <f>Додаток2!H65+Додаток3!H53+Додаток4!H52</f>
        <v>0</v>
      </c>
      <c r="I64" s="373">
        <f>Додаток2!I65+Додаток3!I53+Додаток4!I52</f>
        <v>0</v>
      </c>
      <c r="J64" s="373">
        <f>Додаток2!J65+Додаток3!J53+Додаток4!J52</f>
        <v>0</v>
      </c>
      <c r="K64" s="373">
        <f>Додаток2!K65+Додаток3!K53+Додаток4!K52</f>
        <v>0</v>
      </c>
      <c r="L64" s="409">
        <f>Додаток2!L65+Додаток3!L53+Додаток4!L52</f>
        <v>0</v>
      </c>
      <c r="M64" s="407">
        <f>Додаток2!M65+Додаток3!M53+Додаток4!M52</f>
        <v>0</v>
      </c>
      <c r="N64" s="373">
        <f>Додаток2!N65+Додаток3!N53+Додаток4!N52</f>
        <v>0</v>
      </c>
      <c r="O64" s="373">
        <f>Додаток2!O65+Додаток3!O53+Додаток4!O52</f>
        <v>0</v>
      </c>
      <c r="P64" s="645">
        <f>Додаток2!P65+Додаток3!P53+Додаток4!P52</f>
        <v>0</v>
      </c>
      <c r="Q64" s="1032">
        <f>Додаток2!Q65+Додаток3!Q53+Додаток4!Q52</f>
        <v>0</v>
      </c>
      <c r="R64" s="409">
        <f>Додаток2!R65+Додаток3!R53+Додаток4!R52</f>
        <v>0</v>
      </c>
      <c r="S64" s="639">
        <f>Додаток2!S65+Додаток3!S53+Додаток4!S52</f>
        <v>0</v>
      </c>
      <c r="T64" s="373">
        <f>Додаток2!T65+Додаток3!T53+Додаток4!T52</f>
        <v>0</v>
      </c>
      <c r="U64" s="373">
        <f>Додаток2!U65+Додаток3!U53+Додаток4!U52</f>
        <v>0</v>
      </c>
      <c r="V64" s="645">
        <f>Додаток2!V65+Додаток3!V53+Додаток4!V52</f>
        <v>0</v>
      </c>
      <c r="W64" s="1032">
        <f>Додаток2!W65+Додаток3!W53+Додаток4!W52</f>
        <v>0</v>
      </c>
      <c r="X64" s="409">
        <f>Додаток2!X65+Додаток3!X53+Додаток4!X52</f>
        <v>0</v>
      </c>
      <c r="Y64" s="407">
        <f>Додаток2!Y65+Додаток3!Y53+Додаток4!Y52</f>
        <v>0</v>
      </c>
      <c r="Z64" s="373">
        <f>Додаток2!Z65+Додаток3!Z53+Додаток4!Z52</f>
        <v>0</v>
      </c>
      <c r="AA64" s="645">
        <f>Додаток2!AA65+Додаток3!AA53+Додаток4!AA52</f>
        <v>0</v>
      </c>
      <c r="AB64" s="1032">
        <f>Додаток2!AB65+Додаток3!AB53+Додаток4!AB52</f>
        <v>0</v>
      </c>
      <c r="AC64" s="409">
        <f>Додаток2!AC65+Додаток3!AC53+Додаток4!AC52</f>
        <v>0</v>
      </c>
      <c r="AD64" s="993">
        <f t="shared" si="0"/>
        <v>0</v>
      </c>
      <c r="AE64" s="287"/>
      <c r="AF64" s="287"/>
      <c r="AG64" s="287"/>
      <c r="AH64" s="287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287"/>
      <c r="BL64" s="287"/>
      <c r="BM64" s="287"/>
      <c r="BN64" s="287"/>
      <c r="BO64" s="287"/>
      <c r="BP64" s="287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  <c r="CC64" s="287"/>
      <c r="CD64" s="287"/>
      <c r="CE64" s="287"/>
      <c r="CF64" s="287"/>
      <c r="CG64" s="287"/>
      <c r="CH64" s="287"/>
      <c r="CI64" s="287"/>
      <c r="CJ64" s="287"/>
      <c r="CK64" s="287"/>
      <c r="CL64" s="287"/>
      <c r="CM64" s="287"/>
      <c r="CN64" s="287"/>
      <c r="CO64" s="287"/>
      <c r="CP64" s="287"/>
      <c r="CQ64" s="287"/>
      <c r="CR64" s="287"/>
      <c r="CS64" s="287"/>
      <c r="CT64" s="287"/>
      <c r="CU64" s="287"/>
      <c r="CV64" s="287"/>
      <c r="CW64" s="287"/>
      <c r="CX64" s="287"/>
      <c r="CY64" s="287"/>
    </row>
    <row r="65" spans="1:103" s="288" customFormat="1" ht="18" customHeight="1">
      <c r="A65" s="683" t="s">
        <v>70</v>
      </c>
      <c r="B65" s="897" t="s">
        <v>72</v>
      </c>
      <c r="C65" s="407">
        <f>Додаток2!C66+Додаток3!C54+Додаток4!C53</f>
        <v>0</v>
      </c>
      <c r="D65" s="373">
        <f>Додаток2!D66+Додаток3!D54+Додаток4!D53</f>
        <v>0</v>
      </c>
      <c r="E65" s="373">
        <f>Додаток2!E66+Додаток3!E54+Додаток4!E53</f>
        <v>0</v>
      </c>
      <c r="F65" s="409">
        <f>Додаток2!F66+Додаток3!F54+Додаток4!F53</f>
        <v>0</v>
      </c>
      <c r="G65" s="407">
        <f>Додаток2!G66+Додаток3!G54+Додаток4!G53</f>
        <v>0</v>
      </c>
      <c r="H65" s="373">
        <f>Додаток2!H66+Додаток3!H54+Додаток4!H53</f>
        <v>0</v>
      </c>
      <c r="I65" s="373">
        <f>Додаток2!I66+Додаток3!I54+Додаток4!I53</f>
        <v>0</v>
      </c>
      <c r="J65" s="373">
        <f>Додаток2!J66+Додаток3!J54+Додаток4!J53</f>
        <v>0</v>
      </c>
      <c r="K65" s="373">
        <f>Додаток2!K66+Додаток3!K54+Додаток4!K53</f>
        <v>0</v>
      </c>
      <c r="L65" s="409">
        <f>Додаток2!L66+Додаток3!L54+Додаток4!L53</f>
        <v>0</v>
      </c>
      <c r="M65" s="407">
        <f>Додаток2!M66+Додаток3!M54+Додаток4!M53</f>
        <v>0</v>
      </c>
      <c r="N65" s="373">
        <f>Додаток2!N66+Додаток3!N54+Додаток4!N53</f>
        <v>0</v>
      </c>
      <c r="O65" s="373">
        <f>Додаток2!O66+Додаток3!O54+Додаток4!O53</f>
        <v>0</v>
      </c>
      <c r="P65" s="645">
        <f>Додаток2!P66+Додаток3!P54+Додаток4!P53</f>
        <v>0</v>
      </c>
      <c r="Q65" s="1032">
        <f>Додаток2!Q66+Додаток3!Q54+Додаток4!Q53</f>
        <v>0</v>
      </c>
      <c r="R65" s="409">
        <f>Додаток2!R66+Додаток3!R54+Додаток4!R53</f>
        <v>0</v>
      </c>
      <c r="S65" s="639">
        <f>Додаток2!S66+Додаток3!S54+Додаток4!S53</f>
        <v>0</v>
      </c>
      <c r="T65" s="373">
        <f>Додаток2!T66+Додаток3!T54+Додаток4!T53</f>
        <v>0</v>
      </c>
      <c r="U65" s="373">
        <f>Додаток2!U66+Додаток3!U54+Додаток4!U53</f>
        <v>0</v>
      </c>
      <c r="V65" s="645">
        <f>Додаток2!V66+Додаток3!V54+Додаток4!V53</f>
        <v>0</v>
      </c>
      <c r="W65" s="1032">
        <f>Додаток2!W66+Додаток3!W54+Додаток4!W53</f>
        <v>0</v>
      </c>
      <c r="X65" s="409">
        <f>Додаток2!X66+Додаток3!X54+Додаток4!X53</f>
        <v>0</v>
      </c>
      <c r="Y65" s="407">
        <f>Додаток2!Y66+Додаток3!Y54+Додаток4!Y53</f>
        <v>0</v>
      </c>
      <c r="Z65" s="373">
        <f>Додаток2!Z66+Додаток3!Z54+Додаток4!Z53</f>
        <v>0</v>
      </c>
      <c r="AA65" s="645">
        <f>Додаток2!AA66+Додаток3!AA54+Додаток4!AA53</f>
        <v>0</v>
      </c>
      <c r="AB65" s="1032">
        <f>Додаток2!AB66+Додаток3!AB54+Додаток4!AB53</f>
        <v>0</v>
      </c>
      <c r="AC65" s="409">
        <f>Додаток2!AC66+Додаток3!AC54+Додаток4!AC53</f>
        <v>0</v>
      </c>
      <c r="AD65" s="993">
        <f t="shared" si="0"/>
        <v>0</v>
      </c>
      <c r="AE65" s="287"/>
      <c r="AF65" s="287"/>
      <c r="AG65" s="287"/>
      <c r="AH65" s="287"/>
      <c r="AI65" s="287"/>
      <c r="AJ65" s="287"/>
      <c r="AK65" s="287"/>
      <c r="AL65" s="287"/>
      <c r="AM65" s="287"/>
      <c r="AN65" s="287"/>
      <c r="AO65" s="287"/>
      <c r="AP65" s="287"/>
      <c r="AQ65" s="287"/>
      <c r="AR65" s="287"/>
      <c r="AS65" s="287"/>
      <c r="AT65" s="287"/>
      <c r="AU65" s="287"/>
      <c r="AV65" s="287"/>
      <c r="AW65" s="287"/>
      <c r="AX65" s="287"/>
      <c r="AY65" s="287"/>
      <c r="AZ65" s="287"/>
      <c r="BA65" s="287"/>
      <c r="BB65" s="287"/>
      <c r="BC65" s="287"/>
      <c r="BD65" s="287"/>
      <c r="BE65" s="287"/>
      <c r="BF65" s="287"/>
      <c r="BG65" s="287"/>
      <c r="BH65" s="287"/>
      <c r="BI65" s="287"/>
      <c r="BJ65" s="287"/>
      <c r="BK65" s="287"/>
      <c r="BL65" s="287"/>
      <c r="BM65" s="287"/>
      <c r="BN65" s="287"/>
      <c r="BO65" s="287"/>
      <c r="BP65" s="287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  <c r="CF65" s="287"/>
      <c r="CG65" s="287"/>
      <c r="CH65" s="287"/>
      <c r="CI65" s="287"/>
      <c r="CJ65" s="287"/>
      <c r="CK65" s="287"/>
      <c r="CL65" s="287"/>
      <c r="CM65" s="287"/>
      <c r="CN65" s="287"/>
      <c r="CO65" s="287"/>
      <c r="CP65" s="287"/>
      <c r="CQ65" s="287"/>
      <c r="CR65" s="287"/>
      <c r="CS65" s="287"/>
      <c r="CT65" s="287"/>
      <c r="CU65" s="287"/>
      <c r="CV65" s="287"/>
      <c r="CW65" s="287"/>
      <c r="CX65" s="287"/>
      <c r="CY65" s="287"/>
    </row>
    <row r="66" spans="1:103" s="288" customFormat="1" ht="33.75" customHeight="1">
      <c r="A66" s="683" t="s">
        <v>71</v>
      </c>
      <c r="B66" s="897" t="str">
        <f>'Додаток2 скор'!B58</f>
        <v>інше використання прибутку (прибуток у тарифах НКРЕ)</v>
      </c>
      <c r="C66" s="407">
        <f>Додаток2!C67+Додаток3!C55+Додаток4!C54</f>
        <v>0</v>
      </c>
      <c r="D66" s="373">
        <f>Додаток2!D67+Додаток3!D55+Додаток4!D54</f>
        <v>0</v>
      </c>
      <c r="E66" s="373">
        <f>Додаток2!E67+Додаток3!E55+Додаток4!E54</f>
        <v>0</v>
      </c>
      <c r="F66" s="409">
        <f>Додаток2!F67+Додаток3!F55+Додаток4!F54</f>
        <v>0</v>
      </c>
      <c r="G66" s="407">
        <f>Додаток2!G67+Додаток3!G55+Додаток4!G54</f>
        <v>0</v>
      </c>
      <c r="H66" s="373">
        <f>Додаток2!H67+Додаток3!H55+Додаток4!H54</f>
        <v>0</v>
      </c>
      <c r="I66" s="373">
        <f>Додаток2!I67+Додаток3!I55+Додаток4!I54</f>
        <v>0</v>
      </c>
      <c r="J66" s="373">
        <f>Додаток2!J67+Додаток3!J55+Додаток4!J54</f>
        <v>0</v>
      </c>
      <c r="K66" s="373">
        <f>Додаток2!K67+Додаток3!K55+Додаток4!K54</f>
        <v>0</v>
      </c>
      <c r="L66" s="409">
        <f>Додаток2!L67+Додаток3!L55+Додаток4!L54</f>
        <v>0</v>
      </c>
      <c r="M66" s="407">
        <f>Додаток2!M67+Додаток3!M55+Додаток4!M54</f>
        <v>0</v>
      </c>
      <c r="N66" s="373">
        <f>Додаток2!N67+Додаток3!N55+Додаток4!N54</f>
        <v>0</v>
      </c>
      <c r="O66" s="373">
        <f>Додаток2!O67+Додаток3!O55+Додаток4!O54</f>
        <v>0</v>
      </c>
      <c r="P66" s="645">
        <f>Додаток2!P67+Додаток3!P55+Додаток4!P54</f>
        <v>0</v>
      </c>
      <c r="Q66" s="1032">
        <f>Додаток2!Q67+Додаток3!Q55+Додаток4!Q54</f>
        <v>0</v>
      </c>
      <c r="R66" s="409">
        <f>Додаток2!R67+Додаток3!R55+Додаток4!R54</f>
        <v>0</v>
      </c>
      <c r="S66" s="639">
        <f>Додаток2!S67+Додаток3!S55+Додаток4!S54</f>
        <v>0</v>
      </c>
      <c r="T66" s="373">
        <f>Додаток2!T67+Додаток3!T55+Додаток4!T54</f>
        <v>0</v>
      </c>
      <c r="U66" s="373">
        <f>Додаток2!U67+Додаток3!U55+Додаток4!U54</f>
        <v>0</v>
      </c>
      <c r="V66" s="645">
        <f>Додаток2!V67+Додаток3!V55+Додаток4!V54</f>
        <v>0</v>
      </c>
      <c r="W66" s="1032">
        <f>Додаток2!W67+Додаток3!W55+Додаток4!W54</f>
        <v>0</v>
      </c>
      <c r="X66" s="409">
        <f>Додаток2!X67+Додаток3!X55+Додаток4!X54</f>
        <v>0</v>
      </c>
      <c r="Y66" s="407">
        <f>Додаток2!Y67+Додаток3!Y55+Додаток4!Y54</f>
        <v>0</v>
      </c>
      <c r="Z66" s="373">
        <f>Додаток2!Z67+Додаток3!Z55+Додаток4!Z54</f>
        <v>0</v>
      </c>
      <c r="AA66" s="645">
        <f>Додаток2!AA67+Додаток3!AA55+Додаток4!AA54</f>
        <v>0</v>
      </c>
      <c r="AB66" s="1032">
        <f>Додаток2!AB67+Додаток3!AB55+Додаток4!AB54</f>
        <v>0</v>
      </c>
      <c r="AC66" s="409">
        <f>Додаток2!AC67+Додаток3!AC55+Додаток4!AC54</f>
        <v>0</v>
      </c>
      <c r="AD66" s="993">
        <f t="shared" si="0"/>
        <v>0</v>
      </c>
      <c r="AE66" s="287"/>
      <c r="AF66" s="287"/>
      <c r="AG66" s="287"/>
      <c r="AH66" s="287"/>
      <c r="AI66" s="287"/>
      <c r="AJ66" s="287"/>
      <c r="AK66" s="287"/>
      <c r="AL66" s="287"/>
      <c r="AM66" s="287"/>
      <c r="AN66" s="287"/>
      <c r="AO66" s="287"/>
      <c r="AP66" s="287"/>
      <c r="AQ66" s="287"/>
      <c r="AR66" s="287"/>
      <c r="AS66" s="287"/>
      <c r="AT66" s="287"/>
      <c r="AU66" s="287"/>
      <c r="AV66" s="287"/>
      <c r="AW66" s="287"/>
      <c r="AX66" s="287"/>
      <c r="AY66" s="287"/>
      <c r="AZ66" s="287"/>
      <c r="BA66" s="287"/>
      <c r="BB66" s="287"/>
      <c r="BC66" s="287"/>
      <c r="BD66" s="287"/>
      <c r="BE66" s="287"/>
      <c r="BF66" s="287"/>
      <c r="BG66" s="287"/>
      <c r="BH66" s="287"/>
      <c r="BI66" s="287"/>
      <c r="BJ66" s="287"/>
      <c r="BK66" s="287"/>
      <c r="BL66" s="287"/>
      <c r="BM66" s="287"/>
      <c r="BN66" s="287"/>
      <c r="BO66" s="287"/>
      <c r="BP66" s="287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  <c r="CF66" s="287"/>
      <c r="CG66" s="287"/>
      <c r="CH66" s="287"/>
      <c r="CI66" s="287"/>
      <c r="CJ66" s="287"/>
      <c r="CK66" s="287"/>
      <c r="CL66" s="287"/>
      <c r="CM66" s="287"/>
      <c r="CN66" s="287"/>
      <c r="CO66" s="287"/>
      <c r="CP66" s="287"/>
      <c r="CQ66" s="287"/>
      <c r="CR66" s="287"/>
      <c r="CS66" s="287"/>
      <c r="CT66" s="287"/>
      <c r="CU66" s="287"/>
      <c r="CV66" s="287"/>
      <c r="CW66" s="287"/>
      <c r="CX66" s="287"/>
      <c r="CY66" s="287"/>
    </row>
    <row r="67" spans="1:103" s="970" customFormat="1" ht="39" customHeight="1">
      <c r="A67" s="961">
        <v>8</v>
      </c>
      <c r="B67" s="900" t="s">
        <v>232</v>
      </c>
      <c r="C67" s="394">
        <f>Додаток2!C68+Додаток3!C56+Додаток4!C55</f>
        <v>116029.9</v>
      </c>
      <c r="D67" s="375">
        <f ca="1">Додаток2!D68+Додаток3!D56+Додаток4!D55</f>
        <v>180056.78</v>
      </c>
      <c r="E67" s="582">
        <f>Додаток2!E68+Додаток3!E56+Додаток4!E55</f>
        <v>294055.3</v>
      </c>
      <c r="F67" s="744">
        <f>F59+F61</f>
        <v>1241.4000000000001</v>
      </c>
      <c r="G67" s="962">
        <f ca="1">Додаток2!G68+Додаток3!G56+Додаток4!G52</f>
        <v>102406.97</v>
      </c>
      <c r="H67" s="963">
        <f ca="1">Додаток2!H68+Додаток3!H56+Додаток4!H52</f>
        <v>131963.95000000001</v>
      </c>
      <c r="I67" s="759">
        <v>239487.84</v>
      </c>
      <c r="J67" s="759">
        <v>1166.48</v>
      </c>
      <c r="K67" s="759">
        <f>K59+K60+K61</f>
        <v>238241.25</v>
      </c>
      <c r="L67" s="744">
        <f>L59+L60+L61</f>
        <v>1171.3</v>
      </c>
      <c r="M67" s="962">
        <f ca="1">Додаток2!M68+Додаток3!M56+Додаток4!M52</f>
        <v>35254.44</v>
      </c>
      <c r="N67" s="963">
        <f ca="1">Додаток2!N68+Додаток3!N56+Додаток4!N52</f>
        <v>31241.040000000001</v>
      </c>
      <c r="O67" s="759">
        <v>34436.559999999998</v>
      </c>
      <c r="P67" s="912">
        <v>1264</v>
      </c>
      <c r="Q67" s="1034">
        <f>Q59+Q60+Q61</f>
        <v>44236.79</v>
      </c>
      <c r="R67" s="744">
        <f>R59+R60+R61</f>
        <v>1668.86</v>
      </c>
      <c r="S67" s="1025">
        <f ca="1">Додаток2!S68+Додаток3!S56+Додаток4!S52</f>
        <v>6169.63</v>
      </c>
      <c r="T67" s="963">
        <f ca="1">Додаток2!T68+Додаток3!T56+Додаток4!T52</f>
        <v>5284.16</v>
      </c>
      <c r="U67" s="759">
        <f>U59+U60+U61</f>
        <v>14396.96</v>
      </c>
      <c r="V67" s="912">
        <f>V59+V60+V61</f>
        <v>1610.61</v>
      </c>
      <c r="W67" s="1034">
        <f>W59+W60+W61</f>
        <v>11529.92</v>
      </c>
      <c r="X67" s="744">
        <f>X59+X60+X61</f>
        <v>1668.86</v>
      </c>
      <c r="Y67" s="962">
        <f ca="1">Додаток2!Y68+Додаток3!Y56+Додаток4!Y52</f>
        <v>38.42</v>
      </c>
      <c r="Z67" s="963">
        <f ca="1">Додаток2!Z68+Додаток3!Z56+Додаток4!Z52</f>
        <v>28.36</v>
      </c>
      <c r="AA67" s="912">
        <f>AA59+AA60+AA61</f>
        <v>789.42</v>
      </c>
      <c r="AB67" s="1034">
        <f>AB59+AB60+AB61</f>
        <v>47.34</v>
      </c>
      <c r="AC67" s="744">
        <f>AC59+AC60+AC61</f>
        <v>777.97</v>
      </c>
      <c r="AD67" s="993">
        <f t="shared" si="0"/>
        <v>0</v>
      </c>
    </row>
    <row r="68" spans="1:103" s="486" customFormat="1" ht="41.25" customHeight="1">
      <c r="A68" s="961">
        <v>9</v>
      </c>
      <c r="B68" s="900" t="s">
        <v>133</v>
      </c>
      <c r="C68" s="392"/>
      <c r="D68" s="582"/>
      <c r="E68" s="582"/>
      <c r="F68" s="744">
        <f>F67</f>
        <v>1241.4000000000001</v>
      </c>
      <c r="G68" s="745"/>
      <c r="H68" s="759"/>
      <c r="I68" s="759"/>
      <c r="J68" s="759">
        <f>J67</f>
        <v>1166.48</v>
      </c>
      <c r="K68" s="759"/>
      <c r="L68" s="744">
        <f>L67</f>
        <v>1171.3</v>
      </c>
      <c r="M68" s="745"/>
      <c r="N68" s="759"/>
      <c r="O68" s="759"/>
      <c r="P68" s="912">
        <f>P67</f>
        <v>1264</v>
      </c>
      <c r="Q68" s="1034"/>
      <c r="R68" s="744">
        <f>R67</f>
        <v>1668.86</v>
      </c>
      <c r="S68" s="779"/>
      <c r="T68" s="759"/>
      <c r="U68" s="759"/>
      <c r="V68" s="912">
        <f>V67</f>
        <v>1610.61</v>
      </c>
      <c r="W68" s="1034">
        <f>U68</f>
        <v>0</v>
      </c>
      <c r="X68" s="744">
        <f>X67</f>
        <v>1668.86</v>
      </c>
      <c r="Y68" s="745"/>
      <c r="Z68" s="759"/>
      <c r="AA68" s="912">
        <f>AA67</f>
        <v>789.42</v>
      </c>
      <c r="AB68" s="1034"/>
      <c r="AC68" s="744">
        <f>AC67</f>
        <v>777.97</v>
      </c>
      <c r="AD68" s="994"/>
    </row>
    <row r="69" spans="1:103" s="290" customFormat="1" ht="37.5" customHeight="1">
      <c r="A69" s="683">
        <v>10</v>
      </c>
      <c r="B69" s="897" t="s">
        <v>118</v>
      </c>
      <c r="C69" s="407">
        <f>G69+M69+S69</f>
        <v>156086.81</v>
      </c>
      <c r="D69" s="373">
        <f>H69+N69+T69</f>
        <v>178795</v>
      </c>
      <c r="E69" s="373">
        <f>K69+Q69+W69+AB69</f>
        <v>236872.88</v>
      </c>
      <c r="F69" s="409"/>
      <c r="G69" s="407">
        <v>131286.75</v>
      </c>
      <c r="H69" s="373">
        <v>152840.53</v>
      </c>
      <c r="I69" s="756">
        <v>205308.92</v>
      </c>
      <c r="J69" s="756"/>
      <c r="K69" s="756">
        <v>203396.26</v>
      </c>
      <c r="L69" s="408"/>
      <c r="M69" s="410">
        <v>21318.05</v>
      </c>
      <c r="N69" s="756">
        <v>22497.77</v>
      </c>
      <c r="O69" s="756">
        <v>27244.13</v>
      </c>
      <c r="P69" s="877"/>
      <c r="Q69" s="1035">
        <v>26506.98</v>
      </c>
      <c r="R69" s="408"/>
      <c r="S69" s="749">
        <v>3482.01</v>
      </c>
      <c r="T69" s="756">
        <v>3456.7</v>
      </c>
      <c r="U69" s="756">
        <v>8938.82</v>
      </c>
      <c r="V69" s="877"/>
      <c r="W69" s="1035">
        <v>6908.81</v>
      </c>
      <c r="X69" s="408"/>
      <c r="Y69" s="410">
        <v>35.68</v>
      </c>
      <c r="Z69" s="756">
        <v>40.380000000000003</v>
      </c>
      <c r="AA69" s="877"/>
      <c r="AB69" s="1035">
        <v>60.83</v>
      </c>
      <c r="AC69" s="408"/>
      <c r="AD69" s="980"/>
    </row>
    <row r="70" spans="1:103" s="288" customFormat="1" ht="18" customHeight="1" thickBot="1">
      <c r="A70" s="738">
        <v>11</v>
      </c>
      <c r="B70" s="968" t="s">
        <v>204</v>
      </c>
      <c r="C70" s="998"/>
      <c r="D70" s="860"/>
      <c r="E70" s="765"/>
      <c r="F70" s="857"/>
      <c r="G70" s="764"/>
      <c r="H70" s="765"/>
      <c r="I70" s="765">
        <f>I61/I59*100</f>
        <v>0</v>
      </c>
      <c r="J70" s="765">
        <f>J61/J59*100</f>
        <v>0</v>
      </c>
      <c r="K70" s="765">
        <f>I70</f>
        <v>0</v>
      </c>
      <c r="L70" s="857">
        <f>J70</f>
        <v>0</v>
      </c>
      <c r="M70" s="764"/>
      <c r="N70" s="765"/>
      <c r="O70" s="765">
        <f>O61/O59*100</f>
        <v>0</v>
      </c>
      <c r="P70" s="969">
        <f>P61/P59*100</f>
        <v>0</v>
      </c>
      <c r="Q70" s="1036">
        <f>O70</f>
        <v>0</v>
      </c>
      <c r="R70" s="857">
        <f>P70</f>
        <v>0</v>
      </c>
      <c r="S70" s="1027"/>
      <c r="T70" s="765"/>
      <c r="U70" s="765">
        <f>U61/U59*100</f>
        <v>0</v>
      </c>
      <c r="V70" s="969">
        <f>V61/V59*100</f>
        <v>0</v>
      </c>
      <c r="W70" s="1036">
        <f>U70</f>
        <v>0</v>
      </c>
      <c r="X70" s="857">
        <f>V70</f>
        <v>0</v>
      </c>
      <c r="Y70" s="764"/>
      <c r="Z70" s="765"/>
      <c r="AA70" s="969">
        <v>0</v>
      </c>
      <c r="AB70" s="1036"/>
      <c r="AC70" s="857">
        <v>0</v>
      </c>
      <c r="AD70" s="981"/>
    </row>
    <row r="71" spans="1:103" s="288" customFormat="1" ht="34.5" hidden="1" customHeight="1" thickTop="1">
      <c r="A71" s="739"/>
      <c r="B71" s="740"/>
      <c r="C71" s="858"/>
      <c r="D71" s="740"/>
      <c r="E71" s="741"/>
      <c r="F71" s="741"/>
      <c r="G71" s="741"/>
      <c r="H71" s="741"/>
      <c r="I71" s="741">
        <v>239487.85</v>
      </c>
      <c r="J71" s="741">
        <v>1166.48</v>
      </c>
      <c r="K71" s="741"/>
      <c r="L71" s="741"/>
      <c r="M71" s="741"/>
      <c r="N71" s="741"/>
      <c r="O71" s="741">
        <v>34436.559999999998</v>
      </c>
      <c r="P71" s="741">
        <v>1264</v>
      </c>
      <c r="Q71" s="741"/>
      <c r="R71" s="741"/>
      <c r="S71" s="741"/>
      <c r="U71" s="741">
        <v>14396.95</v>
      </c>
      <c r="V71" s="741">
        <v>1610.61</v>
      </c>
      <c r="W71" s="741"/>
      <c r="X71" s="741"/>
      <c r="Y71" s="741"/>
      <c r="Z71" s="741"/>
      <c r="AA71" s="741">
        <v>789.42</v>
      </c>
      <c r="AB71" s="741"/>
      <c r="AC71" s="741"/>
      <c r="AD71" s="981"/>
    </row>
    <row r="72" spans="1:103" s="288" customFormat="1" ht="24" customHeight="1" thickTop="1">
      <c r="A72" s="739"/>
      <c r="B72" s="740"/>
      <c r="C72" s="858"/>
      <c r="D72" s="740"/>
      <c r="E72" s="741"/>
      <c r="F72" s="741"/>
      <c r="G72" s="741"/>
      <c r="H72" s="741"/>
      <c r="I72" s="741"/>
      <c r="J72" s="741"/>
      <c r="K72" s="741"/>
      <c r="L72" s="741"/>
      <c r="M72" s="741"/>
      <c r="N72" s="741"/>
      <c r="O72" s="741"/>
      <c r="P72" s="741"/>
      <c r="Q72" s="741"/>
      <c r="R72" s="741"/>
      <c r="S72" s="741"/>
      <c r="U72" s="741"/>
      <c r="V72" s="741"/>
      <c r="W72" s="741"/>
      <c r="X72" s="741"/>
      <c r="Y72" s="741"/>
      <c r="Z72" s="741"/>
      <c r="AA72" s="741"/>
      <c r="AB72" s="741"/>
      <c r="AC72" s="741"/>
      <c r="AD72" s="981"/>
    </row>
    <row r="73" spans="1:103" s="288" customFormat="1" ht="34.5" hidden="1" customHeight="1">
      <c r="A73" s="739"/>
      <c r="B73" s="740"/>
      <c r="C73" s="858"/>
      <c r="D73" s="740"/>
      <c r="E73" s="741"/>
      <c r="F73" s="741"/>
      <c r="G73" s="741"/>
      <c r="H73" s="741"/>
      <c r="I73" s="741"/>
      <c r="J73" s="741"/>
      <c r="K73" s="741"/>
      <c r="L73" s="741"/>
      <c r="M73" s="741"/>
      <c r="N73" s="741"/>
      <c r="O73" s="741"/>
      <c r="P73" s="741"/>
      <c r="Q73" s="741"/>
      <c r="R73" s="741"/>
      <c r="S73" s="741"/>
      <c r="U73" s="741"/>
      <c r="V73" s="741"/>
      <c r="W73" s="741"/>
      <c r="X73" s="741"/>
      <c r="Y73" s="741"/>
      <c r="Z73" s="741"/>
      <c r="AA73" s="741"/>
      <c r="AB73" s="741"/>
      <c r="AC73" s="741"/>
      <c r="AD73" s="981"/>
    </row>
    <row r="74" spans="1:103" s="288" customFormat="1" ht="18" customHeight="1">
      <c r="A74" s="381"/>
      <c r="B74" s="1021" t="s">
        <v>410</v>
      </c>
      <c r="D74" s="746"/>
      <c r="E74" s="371"/>
      <c r="F74" s="371"/>
      <c r="G74" s="371"/>
      <c r="H74" s="371"/>
      <c r="I74" s="371"/>
      <c r="J74" s="371"/>
      <c r="K74" s="371"/>
      <c r="L74" s="371"/>
      <c r="M74" s="371"/>
      <c r="N74" s="371"/>
      <c r="O74" s="371"/>
      <c r="P74" s="371"/>
      <c r="Q74" s="371"/>
      <c r="R74" s="371"/>
      <c r="S74" s="371"/>
      <c r="T74" s="371"/>
      <c r="U74" s="371"/>
      <c r="V74" s="371"/>
      <c r="W74" s="371"/>
      <c r="X74" s="371"/>
      <c r="Y74" s="371"/>
      <c r="Z74" s="371"/>
      <c r="AA74" s="371"/>
      <c r="AB74" s="371"/>
      <c r="AC74" s="371"/>
      <c r="AD74" s="981"/>
      <c r="AE74" s="287"/>
      <c r="AF74" s="287"/>
      <c r="AG74" s="287"/>
      <c r="AH74" s="287"/>
      <c r="AI74" s="287"/>
    </row>
    <row r="75" spans="1:103" s="134" customFormat="1" ht="18.75" customHeight="1">
      <c r="B75" s="1022" t="s">
        <v>411</v>
      </c>
      <c r="D75" s="272"/>
      <c r="E75" s="272"/>
      <c r="G75" s="272"/>
      <c r="H75" s="272"/>
      <c r="I75" s="272"/>
      <c r="J75" s="272"/>
      <c r="K75" s="272"/>
      <c r="L75" s="712" t="s">
        <v>391</v>
      </c>
      <c r="U75" s="712"/>
      <c r="V75" s="712"/>
      <c r="X75" s="712" t="s">
        <v>391</v>
      </c>
      <c r="Y75" s="712"/>
      <c r="Z75" s="712"/>
      <c r="AA75" s="294"/>
      <c r="AB75" s="294"/>
      <c r="AC75" s="294"/>
      <c r="AD75" s="995"/>
      <c r="AE75" s="294"/>
    </row>
    <row r="76" spans="1:103" ht="16.5">
      <c r="K76" s="1"/>
      <c r="Q76" s="1"/>
      <c r="AE76" s="285"/>
      <c r="AF76" s="285"/>
      <c r="AG76" s="285"/>
      <c r="AH76" s="285"/>
      <c r="AI76" s="285"/>
    </row>
    <row r="77" spans="1:103" ht="59.25" customHeight="1">
      <c r="A77" s="164"/>
      <c r="K77" s="1"/>
      <c r="O77" s="1065"/>
      <c r="P77" s="1065"/>
      <c r="R77" s="632"/>
      <c r="S77" s="632"/>
      <c r="T77" s="632"/>
      <c r="AE77" s="288"/>
      <c r="AF77" s="288"/>
      <c r="AG77" s="288"/>
      <c r="AH77" s="288"/>
      <c r="AI77" s="288"/>
    </row>
    <row r="78" spans="1:103" ht="18.75">
      <c r="B78" s="134" t="s">
        <v>452</v>
      </c>
      <c r="K78" s="1"/>
      <c r="Q78" s="1"/>
      <c r="AE78" s="288"/>
      <c r="AF78" s="288"/>
      <c r="AG78" s="288"/>
      <c r="AH78" s="288"/>
      <c r="AI78" s="288"/>
    </row>
    <row r="79" spans="1:103" ht="20.25">
      <c r="A79" s="209"/>
      <c r="B79" s="134" t="s">
        <v>453</v>
      </c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E79" s="288"/>
      <c r="AF79" s="288"/>
      <c r="AG79" s="288"/>
      <c r="AH79" s="288"/>
      <c r="AI79" s="288"/>
    </row>
    <row r="81" spans="1:29" ht="20.25">
      <c r="A81" s="209"/>
      <c r="B81" s="209"/>
      <c r="C81" s="209"/>
      <c r="D81" s="209"/>
      <c r="E81" s="209"/>
      <c r="F81" s="209"/>
      <c r="G81" s="209"/>
      <c r="H81" s="209"/>
      <c r="I81" s="209"/>
      <c r="J81" s="209"/>
      <c r="K81" s="845"/>
      <c r="L81" s="209"/>
      <c r="M81" s="209"/>
      <c r="N81" s="209"/>
      <c r="O81" s="209"/>
      <c r="P81" s="209"/>
      <c r="Q81" s="845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</row>
  </sheetData>
  <sheetProtection selectLockedCells="1" selectUnlockedCells="1"/>
  <mergeCells count="17">
    <mergeCell ref="O77:P77"/>
    <mergeCell ref="M5:R5"/>
    <mergeCell ref="S5:X5"/>
    <mergeCell ref="E6:F6"/>
    <mergeCell ref="Y5:AC5"/>
    <mergeCell ref="AB6:AC6"/>
    <mergeCell ref="I6:J6"/>
    <mergeCell ref="Q6:R6"/>
    <mergeCell ref="U6:V6"/>
    <mergeCell ref="C5:F5"/>
    <mergeCell ref="O6:P6"/>
    <mergeCell ref="W6:X6"/>
    <mergeCell ref="B4:P4"/>
    <mergeCell ref="A6:A7"/>
    <mergeCell ref="B6:B7"/>
    <mergeCell ref="K6:L6"/>
    <mergeCell ref="G5:L5"/>
  </mergeCells>
  <pageMargins left="0.94488188976377963" right="0.15748031496062992" top="0.39370078740157483" bottom="0.19685039370078741" header="0" footer="0"/>
  <pageSetup paperSize="9" scale="46" orientation="portrait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CX65"/>
  <sheetViews>
    <sheetView view="pageBreakPreview" zoomScale="70" zoomScaleNormal="80" zoomScaleSheetLayoutView="70" workbookViewId="0">
      <pane xSplit="3" ySplit="7" topLeftCell="D8" activePane="bottomRight" state="frozen"/>
      <selection activeCell="L49" sqref="L49"/>
      <selection pane="topRight" activeCell="L49" sqref="L49"/>
      <selection pane="bottomLeft" activeCell="L49" sqref="L49"/>
      <selection pane="bottomRight" activeCell="F12" sqref="F12"/>
    </sheetView>
  </sheetViews>
  <sheetFormatPr defaultColWidth="11.5703125" defaultRowHeight="12.75"/>
  <cols>
    <col min="1" max="1" width="8.7109375" style="535" customWidth="1"/>
    <col min="2" max="2" width="61.7109375" style="1" customWidth="1"/>
    <col min="3" max="3" width="2" style="1" hidden="1" customWidth="1"/>
    <col min="4" max="4" width="12.5703125" style="1" customWidth="1"/>
    <col min="5" max="5" width="9.140625" style="1" customWidth="1"/>
    <col min="6" max="6" width="12.28515625" style="1" customWidth="1"/>
    <col min="7" max="7" width="10.42578125" style="1" customWidth="1"/>
    <col min="8" max="8" width="11.28515625" style="1" customWidth="1"/>
    <col min="9" max="9" width="8.28515625" style="1" customWidth="1"/>
    <col min="10" max="10" width="9.42578125" style="213" customWidth="1"/>
    <col min="11" max="11" width="12.140625" style="213" customWidth="1"/>
    <col min="12" max="12" width="10" style="213" customWidth="1"/>
    <col min="13" max="13" width="12" style="1" customWidth="1"/>
    <col min="14" max="14" width="9.28515625" style="1" customWidth="1"/>
    <col min="15" max="15" width="8.85546875" style="1" customWidth="1"/>
    <col min="16" max="16" width="11.42578125" style="1" customWidth="1"/>
    <col min="17" max="18" width="9.85546875" style="1" customWidth="1"/>
    <col min="19" max="19" width="9" style="1" customWidth="1"/>
    <col min="20" max="20" width="8.7109375" style="1" customWidth="1"/>
    <col min="21" max="21" width="11.5703125" style="1" customWidth="1"/>
    <col min="22" max="22" width="10" style="1" customWidth="1"/>
    <col min="23" max="23" width="8.140625" style="1" customWidth="1"/>
    <col min="24" max="16384" width="11.5703125" style="1"/>
  </cols>
  <sheetData>
    <row r="1" spans="1:102" ht="6.75" customHeight="1">
      <c r="A1" s="532"/>
      <c r="B1" s="2"/>
      <c r="C1" s="2"/>
      <c r="D1" s="2"/>
      <c r="E1" s="2"/>
      <c r="F1" s="2"/>
      <c r="G1" s="2"/>
      <c r="H1" s="2"/>
      <c r="I1" s="2"/>
      <c r="J1" s="60"/>
      <c r="K1" s="60"/>
      <c r="L1" s="60"/>
      <c r="M1" s="2"/>
      <c r="N1" s="60"/>
      <c r="O1" s="60"/>
      <c r="P1" s="60"/>
      <c r="Q1" s="60"/>
      <c r="R1" s="60"/>
      <c r="T1" s="60"/>
      <c r="U1" s="60"/>
      <c r="V1" s="60"/>
    </row>
    <row r="2" spans="1:102" ht="56.25" customHeight="1">
      <c r="A2" s="1074" t="s">
        <v>412</v>
      </c>
      <c r="B2" s="1074"/>
      <c r="C2" s="1074"/>
      <c r="D2" s="1074"/>
      <c r="E2" s="1074"/>
      <c r="F2" s="1074"/>
      <c r="G2" s="1074"/>
      <c r="H2" s="1074"/>
      <c r="I2" s="1074"/>
      <c r="J2" s="1074"/>
      <c r="K2" s="1074"/>
      <c r="L2" s="1074"/>
      <c r="M2" s="1074"/>
      <c r="N2" s="1074"/>
      <c r="O2" s="1074"/>
      <c r="P2" s="1074"/>
      <c r="Q2" s="1074"/>
      <c r="R2" s="1074"/>
      <c r="S2" s="1074"/>
      <c r="T2" s="1074"/>
      <c r="U2" s="1074"/>
      <c r="V2" s="1074"/>
    </row>
    <row r="3" spans="1:102" ht="14.25" customHeight="1">
      <c r="A3" s="533"/>
      <c r="B3" s="1075"/>
      <c r="C3" s="1076"/>
      <c r="D3" s="1076"/>
      <c r="E3" s="1076"/>
      <c r="F3" s="1076"/>
      <c r="G3" s="1076"/>
      <c r="H3" s="1076"/>
      <c r="I3" s="1076"/>
      <c r="J3" s="1076"/>
      <c r="K3" s="1076"/>
      <c r="L3" s="1076"/>
      <c r="M3" s="1076"/>
      <c r="N3" s="1076"/>
      <c r="O3" s="158"/>
      <c r="P3" s="158"/>
      <c r="Q3" s="158"/>
      <c r="R3" s="1077"/>
      <c r="S3" s="1077"/>
      <c r="T3" s="158"/>
      <c r="U3" s="1077" t="s">
        <v>24</v>
      </c>
      <c r="V3" s="1077"/>
    </row>
    <row r="4" spans="1:102" ht="30" customHeight="1">
      <c r="A4" s="1078" t="s">
        <v>171</v>
      </c>
      <c r="B4" s="1054" t="s">
        <v>4</v>
      </c>
      <c r="C4" s="15" t="s">
        <v>28</v>
      </c>
      <c r="D4" s="1055" t="s">
        <v>193</v>
      </c>
      <c r="E4" s="1072"/>
      <c r="F4" s="1072"/>
      <c r="G4" s="1073"/>
      <c r="H4" s="1055" t="s">
        <v>215</v>
      </c>
      <c r="I4" s="1072"/>
      <c r="J4" s="1072"/>
      <c r="K4" s="1072"/>
      <c r="L4" s="1073"/>
      <c r="M4" s="1055" t="s">
        <v>191</v>
      </c>
      <c r="N4" s="1072"/>
      <c r="O4" s="1072"/>
      <c r="P4" s="1072"/>
      <c r="Q4" s="1073"/>
      <c r="R4" s="1055" t="s">
        <v>192</v>
      </c>
      <c r="S4" s="1072"/>
      <c r="T4" s="1072"/>
      <c r="U4" s="1072"/>
      <c r="V4" s="1073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</row>
    <row r="5" spans="1:102" ht="74.25" customHeight="1">
      <c r="A5" s="1078"/>
      <c r="B5" s="1054"/>
      <c r="C5" s="208"/>
      <c r="D5" s="1055" t="s">
        <v>258</v>
      </c>
      <c r="E5" s="1073"/>
      <c r="F5" s="1054" t="s">
        <v>189</v>
      </c>
      <c r="G5" s="1054"/>
      <c r="H5" s="1055" t="s">
        <v>256</v>
      </c>
      <c r="I5" s="1073"/>
      <c r="J5" s="52" t="s">
        <v>194</v>
      </c>
      <c r="K5" s="1071" t="s">
        <v>350</v>
      </c>
      <c r="L5" s="1071"/>
      <c r="M5" s="1055" t="s">
        <v>257</v>
      </c>
      <c r="N5" s="1073"/>
      <c r="O5" s="52" t="s">
        <v>194</v>
      </c>
      <c r="P5" s="1071" t="e">
        <f>'Послуга ЦО'!#REF!</f>
        <v>#REF!</v>
      </c>
      <c r="Q5" s="1071"/>
      <c r="R5" s="1055" t="s">
        <v>257</v>
      </c>
      <c r="S5" s="1073"/>
      <c r="T5" s="52" t="s">
        <v>194</v>
      </c>
      <c r="U5" s="1071" t="e">
        <f>'Послуга ЦО'!#REF!</f>
        <v>#REF!</v>
      </c>
      <c r="V5" s="1071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</row>
    <row r="6" spans="1:102" ht="24.75" customHeight="1">
      <c r="A6" s="1078"/>
      <c r="B6" s="1054"/>
      <c r="C6" s="208"/>
      <c r="D6" s="210" t="s">
        <v>170</v>
      </c>
      <c r="E6" s="210" t="s">
        <v>77</v>
      </c>
      <c r="F6" s="210" t="s">
        <v>170</v>
      </c>
      <c r="G6" s="303" t="s">
        <v>77</v>
      </c>
      <c r="H6" s="210" t="s">
        <v>170</v>
      </c>
      <c r="I6" s="210" t="s">
        <v>77</v>
      </c>
      <c r="J6" s="51" t="s">
        <v>190</v>
      </c>
      <c r="K6" s="51" t="s">
        <v>170</v>
      </c>
      <c r="L6" s="307" t="s">
        <v>77</v>
      </c>
      <c r="M6" s="210" t="s">
        <v>170</v>
      </c>
      <c r="N6" s="51" t="s">
        <v>77</v>
      </c>
      <c r="O6" s="51" t="s">
        <v>190</v>
      </c>
      <c r="P6" s="51" t="s">
        <v>170</v>
      </c>
      <c r="Q6" s="307" t="s">
        <v>77</v>
      </c>
      <c r="R6" s="51" t="s">
        <v>170</v>
      </c>
      <c r="S6" s="51" t="s">
        <v>77</v>
      </c>
      <c r="T6" s="51" t="s">
        <v>190</v>
      </c>
      <c r="U6" s="51" t="s">
        <v>170</v>
      </c>
      <c r="V6" s="307" t="s">
        <v>77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</row>
    <row r="7" spans="1:102" ht="15.75" customHeight="1">
      <c r="A7" s="55">
        <v>1</v>
      </c>
      <c r="B7" s="53">
        <v>2</v>
      </c>
      <c r="C7" s="16">
        <v>3</v>
      </c>
      <c r="D7" s="16">
        <v>3</v>
      </c>
      <c r="E7" s="16">
        <v>4</v>
      </c>
      <c r="F7" s="16">
        <v>5</v>
      </c>
      <c r="G7" s="304">
        <v>6</v>
      </c>
      <c r="H7" s="16">
        <v>7</v>
      </c>
      <c r="I7" s="16">
        <v>8</v>
      </c>
      <c r="J7" s="16">
        <v>9</v>
      </c>
      <c r="K7" s="16">
        <v>10</v>
      </c>
      <c r="L7" s="304">
        <v>11</v>
      </c>
      <c r="M7" s="16">
        <v>12</v>
      </c>
      <c r="N7" s="16">
        <v>13</v>
      </c>
      <c r="O7" s="16">
        <v>14</v>
      </c>
      <c r="P7" s="16">
        <v>15</v>
      </c>
      <c r="Q7" s="304">
        <v>16</v>
      </c>
      <c r="R7" s="16">
        <v>17</v>
      </c>
      <c r="S7" s="16">
        <v>18</v>
      </c>
      <c r="T7" s="16">
        <v>19</v>
      </c>
      <c r="U7" s="16">
        <v>20</v>
      </c>
      <c r="V7" s="304">
        <v>21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</row>
    <row r="8" spans="1:102" s="8" customFormat="1" ht="20.25" customHeight="1">
      <c r="A8" s="252">
        <v>1</v>
      </c>
      <c r="B8" s="222" t="s">
        <v>29</v>
      </c>
      <c r="C8" s="14" t="s">
        <v>30</v>
      </c>
      <c r="D8" s="296">
        <f>H8+M8+R8</f>
        <v>97971.31</v>
      </c>
      <c r="E8" s="296">
        <f>'Додаток2 скор'!E8+'Додаток3 скор'!D12+'Додаток4 скор'!D13</f>
        <v>405.7</v>
      </c>
      <c r="F8" s="296">
        <f>K8+P8+U8</f>
        <v>296118.8</v>
      </c>
      <c r="G8" s="305">
        <f>'Додаток2 скор'!G8+'Додаток3 скор'!F12+'Додаток4 скор'!F13</f>
        <v>1226.2</v>
      </c>
      <c r="H8" s="296">
        <f>'Додаток2 скор'!H8+'Додаток3 скор'!G12+'Додаток4 скор'!G13</f>
        <v>66086.53</v>
      </c>
      <c r="I8" s="296">
        <f>'Додаток2 скор'!I8+'Додаток3 скор'!H12+'Додаток4 скор'!H13</f>
        <v>321.89</v>
      </c>
      <c r="J8" s="320">
        <f t="shared" ref="J8:J59" si="0">IF(H8=0,0,K8/H8)</f>
        <v>3.5752000000000002</v>
      </c>
      <c r="K8" s="296">
        <f>'Додаток2 скор'!K8+'Додаток3 скор'!J12+'Додаток4 скор'!J13</f>
        <v>236275.20000000001</v>
      </c>
      <c r="L8" s="305">
        <f>'Додаток2 скор'!L8+'Додаток3 скор'!K12+'Додаток4 скор'!K13</f>
        <v>1150.82</v>
      </c>
      <c r="M8" s="296">
        <f>'Додаток2 скор'!M8+'Додаток3 скор'!L12+'Додаток4 скор'!L13</f>
        <v>24007.78</v>
      </c>
      <c r="N8" s="296">
        <f>'Додаток2 скор'!N8+'Додаток3 скор'!M12+'Додаток4 скор'!M13</f>
        <v>881.22</v>
      </c>
      <c r="O8" s="320">
        <f t="shared" ref="O8:O59" si="1">IF(M8=0,0,P8/M8)</f>
        <v>1.8769</v>
      </c>
      <c r="P8" s="296">
        <f>'Додаток2 скор'!P8+'Додаток3 скор'!O12+'Додаток4 скор'!O13</f>
        <v>45059.51</v>
      </c>
      <c r="Q8" s="305">
        <f>'Додаток2 скор'!Q8+'Додаток3 скор'!P12+'Додаток4 скор'!P13</f>
        <v>1653.92</v>
      </c>
      <c r="R8" s="297">
        <f>'Додаток2 скор'!R8+'Додаток3 скор'!Q12+'Додаток4 скор'!Q13</f>
        <v>7877</v>
      </c>
      <c r="S8" s="296">
        <f>'Додаток2 скор'!S8+'Додаток3 скор'!R12+'Додаток4 скор'!R13</f>
        <v>881.22</v>
      </c>
      <c r="T8" s="320">
        <f t="shared" ref="T8:T59" si="2">IF(R8=0,0,U8/R8)</f>
        <v>1.8769</v>
      </c>
      <c r="U8" s="296">
        <f>'Додаток2 скор'!U8+'Додаток3 скор'!T12+'Додаток4 скор'!T13</f>
        <v>14784.09</v>
      </c>
      <c r="V8" s="305">
        <f>'Додаток2 скор'!V8+'Додаток3 скор'!U12+'Додаток4 скор'!U13</f>
        <v>1653.92</v>
      </c>
      <c r="W8" s="57">
        <f>U8/$U$59*1000</f>
        <v>1653.92</v>
      </c>
    </row>
    <row r="9" spans="1:102" s="8" customFormat="1" ht="20.25" customHeight="1">
      <c r="A9" s="534"/>
      <c r="B9" s="314" t="s">
        <v>271</v>
      </c>
      <c r="C9" s="315"/>
      <c r="D9" s="305">
        <f t="shared" ref="D9:I9" si="3">D10+D30+D33</f>
        <v>101207.67</v>
      </c>
      <c r="E9" s="305">
        <f t="shared" si="3"/>
        <v>418.62</v>
      </c>
      <c r="F9" s="305">
        <f t="shared" si="3"/>
        <v>295797.64</v>
      </c>
      <c r="G9" s="305">
        <f t="shared" si="3"/>
        <v>1224.9000000000001</v>
      </c>
      <c r="H9" s="305">
        <f t="shared" si="3"/>
        <v>69361.25</v>
      </c>
      <c r="I9" s="305">
        <f t="shared" si="3"/>
        <v>337.85</v>
      </c>
      <c r="J9" s="321">
        <f t="shared" si="0"/>
        <v>3.4024999999999999</v>
      </c>
      <c r="K9" s="305">
        <f>K10+K30+K33</f>
        <v>236002.16</v>
      </c>
      <c r="L9" s="305">
        <f>L10+L30+L33</f>
        <v>1149.52</v>
      </c>
      <c r="M9" s="305">
        <f>M10+M30+M33</f>
        <v>23978.9</v>
      </c>
      <c r="N9" s="305">
        <f>N10+N30+N33</f>
        <v>880.16</v>
      </c>
      <c r="O9" s="321">
        <f t="shared" si="1"/>
        <v>1.8775999999999999</v>
      </c>
      <c r="P9" s="305">
        <f>P10+P30+P33</f>
        <v>45023.29</v>
      </c>
      <c r="Q9" s="305">
        <f>Q10+Q30+Q33</f>
        <v>1652.61</v>
      </c>
      <c r="R9" s="305">
        <f>R10+R30+R33</f>
        <v>7867.52</v>
      </c>
      <c r="S9" s="305">
        <f>S10+S30+S33</f>
        <v>880.16</v>
      </c>
      <c r="T9" s="321">
        <f t="shared" si="2"/>
        <v>1.8775999999999999</v>
      </c>
      <c r="U9" s="305">
        <f>U10+U30+U33</f>
        <v>14772.19</v>
      </c>
      <c r="V9" s="305">
        <f>V10+V30+V33</f>
        <v>1652.6</v>
      </c>
      <c r="W9" s="57"/>
    </row>
    <row r="10" spans="1:102" s="8" customFormat="1" ht="21.75" customHeight="1">
      <c r="A10" s="252" t="s">
        <v>31</v>
      </c>
      <c r="B10" s="222" t="s">
        <v>32</v>
      </c>
      <c r="C10" s="14" t="s">
        <v>30</v>
      </c>
      <c r="D10" s="296">
        <f t="shared" ref="D10:D57" si="4">H10+M10+R10</f>
        <v>77528.17</v>
      </c>
      <c r="E10" s="296">
        <f>'Додаток2 скор'!E10+'Додаток3 скор'!D14+'Додаток4 скор'!D15</f>
        <v>321.04000000000002</v>
      </c>
      <c r="F10" s="296">
        <f t="shared" ref="F10:F57" si="5">K10+P10+U10</f>
        <v>265886.67</v>
      </c>
      <c r="G10" s="305">
        <f>'Додаток2 скор'!G10+'Додаток3 скор'!F14+'Додаток4 скор'!F15</f>
        <v>1101.02</v>
      </c>
      <c r="H10" s="296">
        <f>'Додаток2 скор'!H10+'Додаток3 скор'!G14+'Додаток4 скор'!G15</f>
        <v>49229.66</v>
      </c>
      <c r="I10" s="296">
        <f>'Додаток2 скор'!I10+'Додаток3 скор'!H14+'Додаток4 скор'!H15</f>
        <v>239.79</v>
      </c>
      <c r="J10" s="320">
        <f t="shared" si="0"/>
        <v>4.2774000000000001</v>
      </c>
      <c r="K10" s="296">
        <f>'Додаток2 скор'!K10+'Додаток3 скор'!J14+'Додаток4 скор'!J15</f>
        <v>210572.79</v>
      </c>
      <c r="L10" s="305">
        <f>'Додаток2 скор'!L10+'Додаток3 скор'!K14+'Додаток4 скор'!K15</f>
        <v>1025.6400000000001</v>
      </c>
      <c r="M10" s="296">
        <f>'Додаток2 скор'!M10+'Додаток3 скор'!L14+'Додаток4 скор'!L15</f>
        <v>21307.49</v>
      </c>
      <c r="N10" s="296">
        <f>'Додаток2 скор'!N10+'Додаток3 скор'!M14+'Додаток4 скор'!M15</f>
        <v>782.1</v>
      </c>
      <c r="O10" s="320">
        <f t="shared" si="1"/>
        <v>1.9547000000000001</v>
      </c>
      <c r="P10" s="296">
        <f>'Додаток2 скор'!P10+'Додаток3 скор'!O14+'Додаток4 скор'!O15</f>
        <v>41648.85</v>
      </c>
      <c r="Q10" s="305">
        <f>'Додаток2 скор'!Q10+'Додаток3 скор'!P14+'Додаток4 скор'!P15+0.01</f>
        <v>1528.73</v>
      </c>
      <c r="R10" s="297">
        <f>'Додаток2 скор'!R10+'Додаток3 скор'!Q14+'Додаток4 скор'!Q15</f>
        <v>6991.02</v>
      </c>
      <c r="S10" s="296">
        <f>'Додаток2 скор'!S10+'Додаток3 скор'!R14+'Додаток4 скор'!R15</f>
        <v>782.1</v>
      </c>
      <c r="T10" s="320">
        <f t="shared" si="2"/>
        <v>1.9547000000000001</v>
      </c>
      <c r="U10" s="296">
        <f>'Додаток2 скор'!U10+'Додаток3 скор'!T14+'Додаток4 скор'!T15</f>
        <v>13665.03</v>
      </c>
      <c r="V10" s="305">
        <f>'Додаток2 скор'!V10+'Додаток3 скор'!U14+'Додаток4 скор'!U15+0.01</f>
        <v>1528.73</v>
      </c>
      <c r="W10" s="57">
        <f t="shared" ref="W10:W18" si="6">U10/$U$59*1000</f>
        <v>1528.73</v>
      </c>
    </row>
    <row r="11" spans="1:102" s="231" customFormat="1" ht="17.100000000000001" customHeight="1">
      <c r="A11" s="95" t="s">
        <v>33</v>
      </c>
      <c r="B11" s="223" t="s">
        <v>185</v>
      </c>
      <c r="C11" s="13" t="s">
        <v>30</v>
      </c>
      <c r="D11" s="298">
        <f t="shared" si="4"/>
        <v>62031.360000000001</v>
      </c>
      <c r="E11" s="298">
        <f>'Додаток2 скор'!E11</f>
        <v>256.87</v>
      </c>
      <c r="F11" s="298">
        <f t="shared" si="5"/>
        <v>239154.76</v>
      </c>
      <c r="G11" s="306">
        <f>'Додаток2 скор'!G11</f>
        <v>990.32</v>
      </c>
      <c r="H11" s="298">
        <f>'Додаток2 скор'!H11</f>
        <v>36054.74</v>
      </c>
      <c r="I11" s="298">
        <f>'Додаток2 скор'!I11</f>
        <v>175.61</v>
      </c>
      <c r="J11" s="322">
        <f t="shared" si="0"/>
        <v>5.2142999999999997</v>
      </c>
      <c r="K11" s="298">
        <f>'Додаток2 скор'!K11</f>
        <v>188000.23</v>
      </c>
      <c r="L11" s="306">
        <f>'Додаток2 скор'!L11</f>
        <v>915.69</v>
      </c>
      <c r="M11" s="298">
        <f>'Додаток2 скор'!M11</f>
        <v>19559.22</v>
      </c>
      <c r="N11" s="298">
        <f>'Додаток2 скор'!N11</f>
        <v>717.92</v>
      </c>
      <c r="O11" s="322">
        <f t="shared" si="1"/>
        <v>1.9693000000000001</v>
      </c>
      <c r="P11" s="298">
        <f>'Додаток2 скор'!P11</f>
        <v>38517.050000000003</v>
      </c>
      <c r="Q11" s="306">
        <f>'Додаток2 скор'!Q11</f>
        <v>1413.77</v>
      </c>
      <c r="R11" s="298">
        <f>'Додаток2 скор'!R11</f>
        <v>6417.4</v>
      </c>
      <c r="S11" s="298">
        <f>'Додаток2 скор'!S11</f>
        <v>717.92</v>
      </c>
      <c r="T11" s="322">
        <f t="shared" si="2"/>
        <v>1.9693000000000001</v>
      </c>
      <c r="U11" s="298">
        <f>'Додаток2 скор'!U11</f>
        <v>12637.48</v>
      </c>
      <c r="V11" s="306">
        <f>'Додаток2 скор'!V11</f>
        <v>1413.77</v>
      </c>
      <c r="W11" s="57">
        <f t="shared" si="6"/>
        <v>1413.77</v>
      </c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0"/>
      <c r="BI11" s="250"/>
      <c r="BJ11" s="250"/>
      <c r="BK11" s="250"/>
      <c r="BL11" s="250"/>
      <c r="BM11" s="250"/>
      <c r="BN11" s="250"/>
      <c r="BO11" s="250"/>
      <c r="BP11" s="250"/>
      <c r="BQ11" s="250"/>
      <c r="BR11" s="250"/>
      <c r="BS11" s="250"/>
      <c r="BT11" s="250"/>
      <c r="BU11" s="250"/>
      <c r="BV11" s="250"/>
      <c r="BW11" s="250"/>
      <c r="BX11" s="250"/>
      <c r="BY11" s="250"/>
      <c r="BZ11" s="250"/>
      <c r="CA11" s="250"/>
      <c r="CB11" s="250"/>
      <c r="CC11" s="250"/>
      <c r="CD11" s="250"/>
      <c r="CE11" s="250"/>
      <c r="CF11" s="250"/>
      <c r="CG11" s="250"/>
      <c r="CH11" s="250"/>
      <c r="CI11" s="250"/>
      <c r="CJ11" s="250"/>
      <c r="CK11" s="250"/>
      <c r="CL11" s="250"/>
      <c r="CM11" s="250"/>
      <c r="CN11" s="250"/>
      <c r="CO11" s="250"/>
      <c r="CP11" s="250"/>
      <c r="CQ11" s="250"/>
      <c r="CR11" s="250"/>
      <c r="CS11" s="250"/>
      <c r="CT11" s="250"/>
      <c r="CU11" s="250"/>
      <c r="CV11" s="250"/>
      <c r="CW11" s="250"/>
      <c r="CX11" s="250"/>
    </row>
    <row r="12" spans="1:102" s="231" customFormat="1" ht="17.100000000000001" customHeight="1">
      <c r="A12" s="95" t="s">
        <v>186</v>
      </c>
      <c r="B12" s="479" t="s">
        <v>188</v>
      </c>
      <c r="C12" s="13"/>
      <c r="D12" s="298">
        <f t="shared" si="4"/>
        <v>62031.360000000001</v>
      </c>
      <c r="E12" s="298">
        <f>'Додаток2 скор'!E12</f>
        <v>256.87</v>
      </c>
      <c r="F12" s="298">
        <f t="shared" si="5"/>
        <v>239154.76</v>
      </c>
      <c r="G12" s="306">
        <f>'Додаток2 скор'!G12</f>
        <v>990.32</v>
      </c>
      <c r="H12" s="298">
        <f>'Додаток2 скор'!H12</f>
        <v>36054.74</v>
      </c>
      <c r="I12" s="298">
        <f>'Додаток2 скор'!I12</f>
        <v>175.61</v>
      </c>
      <c r="J12" s="322">
        <f t="shared" si="0"/>
        <v>5.2142999999999997</v>
      </c>
      <c r="K12" s="298">
        <f>'Додаток2 скор'!K12</f>
        <v>188000.23</v>
      </c>
      <c r="L12" s="306">
        <f>'Додаток2 скор'!L12</f>
        <v>915.69</v>
      </c>
      <c r="M12" s="298">
        <f>'Додаток2 скор'!M12</f>
        <v>19559.22</v>
      </c>
      <c r="N12" s="298">
        <f>'Додаток2 скор'!N12</f>
        <v>717.92</v>
      </c>
      <c r="O12" s="322">
        <f t="shared" si="1"/>
        <v>1.9693000000000001</v>
      </c>
      <c r="P12" s="298">
        <f>'Додаток2 скор'!P12</f>
        <v>38517.050000000003</v>
      </c>
      <c r="Q12" s="306">
        <f>'Додаток2 скор'!Q12</f>
        <v>1413.77</v>
      </c>
      <c r="R12" s="298">
        <f>'Додаток2 скор'!R12</f>
        <v>6417.4</v>
      </c>
      <c r="S12" s="298">
        <f>'Додаток2 скор'!S12</f>
        <v>717.92</v>
      </c>
      <c r="T12" s="322">
        <f t="shared" si="2"/>
        <v>1.9693000000000001</v>
      </c>
      <c r="U12" s="298">
        <f>'Додаток2 скор'!U12</f>
        <v>12637.48</v>
      </c>
      <c r="V12" s="306">
        <f>'Додаток2 скор'!V12</f>
        <v>1413.77</v>
      </c>
      <c r="W12" s="57">
        <f t="shared" si="6"/>
        <v>1413.77</v>
      </c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0"/>
      <c r="BI12" s="250"/>
      <c r="BJ12" s="250"/>
      <c r="BK12" s="250"/>
      <c r="BL12" s="250"/>
      <c r="BM12" s="250"/>
      <c r="BN12" s="250"/>
      <c r="BO12" s="250"/>
      <c r="BP12" s="250"/>
      <c r="BQ12" s="250"/>
      <c r="BR12" s="250"/>
      <c r="BS12" s="250"/>
      <c r="BT12" s="250"/>
      <c r="BU12" s="250"/>
      <c r="BV12" s="250"/>
      <c r="BW12" s="250"/>
      <c r="BX12" s="250"/>
      <c r="BY12" s="250"/>
      <c r="BZ12" s="250"/>
      <c r="CA12" s="250"/>
      <c r="CB12" s="250"/>
      <c r="CC12" s="250"/>
      <c r="CD12" s="250"/>
      <c r="CE12" s="250"/>
      <c r="CF12" s="250"/>
      <c r="CG12" s="250"/>
      <c r="CH12" s="250"/>
      <c r="CI12" s="250"/>
      <c r="CJ12" s="250"/>
      <c r="CK12" s="250"/>
      <c r="CL12" s="250"/>
      <c r="CM12" s="250"/>
      <c r="CN12" s="250"/>
      <c r="CO12" s="250"/>
      <c r="CP12" s="250"/>
      <c r="CQ12" s="250"/>
      <c r="CR12" s="250"/>
      <c r="CS12" s="250"/>
      <c r="CT12" s="250"/>
      <c r="CU12" s="250"/>
      <c r="CV12" s="250"/>
      <c r="CW12" s="250"/>
      <c r="CX12" s="250"/>
    </row>
    <row r="13" spans="1:102" s="231" customFormat="1" ht="17.100000000000001" hidden="1" customHeight="1">
      <c r="A13" s="95" t="s">
        <v>187</v>
      </c>
      <c r="B13" s="223" t="s">
        <v>259</v>
      </c>
      <c r="C13" s="13"/>
      <c r="D13" s="298">
        <f t="shared" si="4"/>
        <v>0</v>
      </c>
      <c r="E13" s="298">
        <f>'Додаток2 скор'!E13</f>
        <v>0</v>
      </c>
      <c r="F13" s="298">
        <f t="shared" si="5"/>
        <v>0</v>
      </c>
      <c r="G13" s="306">
        <f>'Додаток2 скор'!G13</f>
        <v>0</v>
      </c>
      <c r="H13" s="298">
        <f>'Додаток2 скор'!H13</f>
        <v>0</v>
      </c>
      <c r="I13" s="298">
        <f>'Додаток2 скор'!I13</f>
        <v>0</v>
      </c>
      <c r="J13" s="322">
        <f t="shared" si="0"/>
        <v>0</v>
      </c>
      <c r="K13" s="298">
        <f>'Додаток2 скор'!K13</f>
        <v>0</v>
      </c>
      <c r="L13" s="306">
        <f>'Додаток2 скор'!L13</f>
        <v>0</v>
      </c>
      <c r="M13" s="298">
        <f>'Додаток2 скор'!M13</f>
        <v>0</v>
      </c>
      <c r="N13" s="298">
        <f>'Додаток2 скор'!N13</f>
        <v>0</v>
      </c>
      <c r="O13" s="322">
        <f t="shared" si="1"/>
        <v>0</v>
      </c>
      <c r="P13" s="298">
        <f>'Додаток2 скор'!P13</f>
        <v>0</v>
      </c>
      <c r="Q13" s="306">
        <f>'Додаток2 скор'!Q13</f>
        <v>0</v>
      </c>
      <c r="R13" s="298">
        <f>'Додаток2 скор'!R13</f>
        <v>0</v>
      </c>
      <c r="S13" s="298">
        <f>'Додаток2 скор'!S13</f>
        <v>0</v>
      </c>
      <c r="T13" s="322">
        <f t="shared" si="2"/>
        <v>0</v>
      </c>
      <c r="U13" s="298">
        <f>'Додаток2 скор'!U13</f>
        <v>0</v>
      </c>
      <c r="V13" s="306">
        <f>'Додаток2 скор'!V13</f>
        <v>0</v>
      </c>
      <c r="W13" s="57">
        <f t="shared" si="6"/>
        <v>0</v>
      </c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  <c r="BD13" s="250"/>
      <c r="BE13" s="250"/>
      <c r="BF13" s="25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0"/>
      <c r="BV13" s="250"/>
      <c r="BW13" s="250"/>
      <c r="BX13" s="250"/>
      <c r="BY13" s="250"/>
      <c r="BZ13" s="250"/>
      <c r="CA13" s="250"/>
      <c r="CB13" s="250"/>
      <c r="CC13" s="250"/>
      <c r="CD13" s="250"/>
      <c r="CE13" s="250"/>
      <c r="CF13" s="250"/>
      <c r="CG13" s="250"/>
      <c r="CH13" s="250"/>
      <c r="CI13" s="250"/>
      <c r="CJ13" s="250"/>
      <c r="CK13" s="250"/>
      <c r="CL13" s="250"/>
      <c r="CM13" s="250"/>
      <c r="CN13" s="250"/>
      <c r="CO13" s="250"/>
      <c r="CP13" s="250"/>
      <c r="CQ13" s="250"/>
      <c r="CR13" s="250"/>
      <c r="CS13" s="250"/>
      <c r="CT13" s="250"/>
      <c r="CU13" s="250"/>
      <c r="CV13" s="250"/>
      <c r="CW13" s="250"/>
      <c r="CX13" s="250"/>
    </row>
    <row r="14" spans="1:102" s="231" customFormat="1" ht="17.100000000000001" hidden="1" customHeight="1">
      <c r="A14" s="95" t="s">
        <v>236</v>
      </c>
      <c r="B14" s="223" t="s">
        <v>240</v>
      </c>
      <c r="C14" s="13"/>
      <c r="D14" s="298">
        <f t="shared" si="4"/>
        <v>0</v>
      </c>
      <c r="E14" s="298">
        <f>'Додаток2 скор'!E14</f>
        <v>0</v>
      </c>
      <c r="F14" s="298">
        <f t="shared" si="5"/>
        <v>0</v>
      </c>
      <c r="G14" s="306">
        <f>'Додаток2 скор'!G14</f>
        <v>0</v>
      </c>
      <c r="H14" s="298">
        <f>'Додаток2 скор'!H14</f>
        <v>0</v>
      </c>
      <c r="I14" s="298">
        <f>'Додаток2 скор'!I14</f>
        <v>0</v>
      </c>
      <c r="J14" s="322">
        <f t="shared" si="0"/>
        <v>0</v>
      </c>
      <c r="K14" s="298">
        <f>'Додаток2 скор'!K14</f>
        <v>0</v>
      </c>
      <c r="L14" s="306">
        <f>'Додаток2 скор'!L14</f>
        <v>0</v>
      </c>
      <c r="M14" s="298">
        <f>'Додаток2 скор'!M14</f>
        <v>0</v>
      </c>
      <c r="N14" s="298">
        <f>'Додаток2 скор'!N14</f>
        <v>0</v>
      </c>
      <c r="O14" s="322">
        <f t="shared" si="1"/>
        <v>0</v>
      </c>
      <c r="P14" s="298">
        <f>'Додаток2 скор'!P14</f>
        <v>0</v>
      </c>
      <c r="Q14" s="306">
        <f>'Додаток2 скор'!Q14</f>
        <v>0</v>
      </c>
      <c r="R14" s="298">
        <f>'Додаток2 скор'!R14</f>
        <v>0</v>
      </c>
      <c r="S14" s="298">
        <f>'Додаток2 скор'!S14</f>
        <v>0</v>
      </c>
      <c r="T14" s="322">
        <f t="shared" si="2"/>
        <v>0</v>
      </c>
      <c r="U14" s="298">
        <f>'Додаток2 скор'!U14</f>
        <v>0</v>
      </c>
      <c r="V14" s="306">
        <f>'Додаток2 скор'!V14</f>
        <v>0</v>
      </c>
      <c r="W14" s="57">
        <f t="shared" si="6"/>
        <v>0</v>
      </c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  <c r="AZ14" s="250"/>
      <c r="BA14" s="250"/>
      <c r="BB14" s="250"/>
      <c r="BC14" s="250"/>
      <c r="BD14" s="250"/>
      <c r="BE14" s="250"/>
      <c r="BF14" s="250"/>
      <c r="BG14" s="250"/>
      <c r="BH14" s="250"/>
      <c r="BI14" s="250"/>
      <c r="BJ14" s="250"/>
      <c r="BK14" s="250"/>
      <c r="BL14" s="250"/>
      <c r="BM14" s="250"/>
      <c r="BN14" s="250"/>
      <c r="BO14" s="250"/>
      <c r="BP14" s="250"/>
      <c r="BQ14" s="250"/>
      <c r="BR14" s="250"/>
      <c r="BS14" s="250"/>
      <c r="BT14" s="250"/>
      <c r="BU14" s="250"/>
      <c r="BV14" s="250"/>
      <c r="BW14" s="250"/>
      <c r="BX14" s="250"/>
      <c r="BY14" s="250"/>
      <c r="BZ14" s="250"/>
      <c r="CA14" s="250"/>
      <c r="CB14" s="250"/>
      <c r="CC14" s="250"/>
      <c r="CD14" s="250"/>
      <c r="CE14" s="250"/>
      <c r="CF14" s="250"/>
      <c r="CG14" s="250"/>
      <c r="CH14" s="250"/>
      <c r="CI14" s="250"/>
      <c r="CJ14" s="250"/>
      <c r="CK14" s="250"/>
      <c r="CL14" s="250"/>
      <c r="CM14" s="250"/>
      <c r="CN14" s="250"/>
      <c r="CO14" s="250"/>
      <c r="CP14" s="250"/>
      <c r="CQ14" s="250"/>
      <c r="CR14" s="250"/>
      <c r="CS14" s="250"/>
      <c r="CT14" s="250"/>
      <c r="CU14" s="250"/>
      <c r="CV14" s="250"/>
      <c r="CW14" s="250"/>
      <c r="CX14" s="250"/>
    </row>
    <row r="15" spans="1:102" s="231" customFormat="1" ht="17.100000000000001" hidden="1" customHeight="1">
      <c r="A15" s="95" t="s">
        <v>237</v>
      </c>
      <c r="B15" s="223" t="s">
        <v>241</v>
      </c>
      <c r="C15" s="13"/>
      <c r="D15" s="298">
        <f t="shared" si="4"/>
        <v>0</v>
      </c>
      <c r="E15" s="298">
        <f>'Додаток2 скор'!E15</f>
        <v>0</v>
      </c>
      <c r="F15" s="298">
        <f t="shared" si="5"/>
        <v>0</v>
      </c>
      <c r="G15" s="306">
        <f>'Додаток2 скор'!G15</f>
        <v>0</v>
      </c>
      <c r="H15" s="298">
        <f>'Додаток2 скор'!H15</f>
        <v>0</v>
      </c>
      <c r="I15" s="298">
        <f>'Додаток2 скор'!I15</f>
        <v>0</v>
      </c>
      <c r="J15" s="322">
        <f t="shared" si="0"/>
        <v>0</v>
      </c>
      <c r="K15" s="298">
        <f>'Додаток2 скор'!K15</f>
        <v>0</v>
      </c>
      <c r="L15" s="306">
        <f>'Додаток2 скор'!L15</f>
        <v>0</v>
      </c>
      <c r="M15" s="298">
        <f>'Додаток2 скор'!M15</f>
        <v>0</v>
      </c>
      <c r="N15" s="298">
        <f>'Додаток2 скор'!N15</f>
        <v>0</v>
      </c>
      <c r="O15" s="322">
        <f t="shared" si="1"/>
        <v>0</v>
      </c>
      <c r="P15" s="298">
        <f>'Додаток2 скор'!P15</f>
        <v>0</v>
      </c>
      <c r="Q15" s="306">
        <f>'Додаток2 скор'!Q15</f>
        <v>0</v>
      </c>
      <c r="R15" s="298">
        <f>'Додаток2 скор'!R15</f>
        <v>0</v>
      </c>
      <c r="S15" s="298">
        <f>'Додаток2 скор'!S15</f>
        <v>0</v>
      </c>
      <c r="T15" s="322">
        <f t="shared" si="2"/>
        <v>0</v>
      </c>
      <c r="U15" s="298">
        <f>'Додаток2 скор'!U15</f>
        <v>0</v>
      </c>
      <c r="V15" s="306">
        <f>'Додаток2 скор'!V15</f>
        <v>0</v>
      </c>
      <c r="W15" s="57">
        <f t="shared" si="6"/>
        <v>0</v>
      </c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0"/>
      <c r="AO15" s="250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0"/>
      <c r="BB15" s="250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0"/>
      <c r="CB15" s="250"/>
      <c r="CC15" s="250"/>
      <c r="CD15" s="250"/>
      <c r="CE15" s="250"/>
      <c r="CF15" s="250"/>
      <c r="CG15" s="250"/>
      <c r="CH15" s="250"/>
      <c r="CI15" s="250"/>
      <c r="CJ15" s="250"/>
      <c r="CK15" s="250"/>
      <c r="CL15" s="250"/>
      <c r="CM15" s="250"/>
      <c r="CN15" s="250"/>
      <c r="CO15" s="250"/>
      <c r="CP15" s="250"/>
      <c r="CQ15" s="250"/>
      <c r="CR15" s="250"/>
      <c r="CS15" s="250"/>
      <c r="CT15" s="250"/>
      <c r="CU15" s="250"/>
      <c r="CV15" s="250"/>
      <c r="CW15" s="250"/>
      <c r="CX15" s="250"/>
    </row>
    <row r="16" spans="1:102" s="231" customFormat="1" ht="17.100000000000001" hidden="1" customHeight="1">
      <c r="A16" s="95" t="s">
        <v>238</v>
      </c>
      <c r="B16" s="223" t="s">
        <v>243</v>
      </c>
      <c r="C16" s="13"/>
      <c r="D16" s="298">
        <f t="shared" si="4"/>
        <v>0</v>
      </c>
      <c r="E16" s="298">
        <f>'Додаток2 скор'!E16</f>
        <v>0</v>
      </c>
      <c r="F16" s="298">
        <f t="shared" si="5"/>
        <v>0</v>
      </c>
      <c r="G16" s="306">
        <f>'Додаток2 скор'!G16</f>
        <v>0</v>
      </c>
      <c r="H16" s="298">
        <f>'Додаток2 скор'!H16</f>
        <v>0</v>
      </c>
      <c r="I16" s="298">
        <f>'Додаток2 скор'!I16</f>
        <v>0</v>
      </c>
      <c r="J16" s="322">
        <f t="shared" si="0"/>
        <v>0</v>
      </c>
      <c r="K16" s="298">
        <f>'Додаток2 скор'!K16</f>
        <v>0</v>
      </c>
      <c r="L16" s="306">
        <f>'Додаток2 скор'!L16</f>
        <v>0</v>
      </c>
      <c r="M16" s="298">
        <f>'Додаток2 скор'!M16</f>
        <v>0</v>
      </c>
      <c r="N16" s="298">
        <f>'Додаток2 скор'!N16</f>
        <v>0</v>
      </c>
      <c r="O16" s="322">
        <f t="shared" si="1"/>
        <v>0</v>
      </c>
      <c r="P16" s="298">
        <f>'Додаток2 скор'!P16</f>
        <v>0</v>
      </c>
      <c r="Q16" s="306">
        <f>'Додаток2 скор'!Q16</f>
        <v>0</v>
      </c>
      <c r="R16" s="298">
        <f>'Додаток2 скор'!R16</f>
        <v>0</v>
      </c>
      <c r="S16" s="298">
        <f>'Додаток2 скор'!S16</f>
        <v>0</v>
      </c>
      <c r="T16" s="322">
        <f t="shared" si="2"/>
        <v>0</v>
      </c>
      <c r="U16" s="298">
        <f>'Додаток2 скор'!U16</f>
        <v>0</v>
      </c>
      <c r="V16" s="306">
        <f>'Додаток2 скор'!V16</f>
        <v>0</v>
      </c>
      <c r="W16" s="57">
        <f t="shared" si="6"/>
        <v>0</v>
      </c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  <c r="CD16" s="250"/>
      <c r="CE16" s="250"/>
      <c r="CF16" s="250"/>
      <c r="CG16" s="250"/>
      <c r="CH16" s="250"/>
      <c r="CI16" s="250"/>
      <c r="CJ16" s="250"/>
      <c r="CK16" s="250"/>
      <c r="CL16" s="250"/>
      <c r="CM16" s="250"/>
      <c r="CN16" s="250"/>
      <c r="CO16" s="250"/>
      <c r="CP16" s="250"/>
      <c r="CQ16" s="250"/>
      <c r="CR16" s="250"/>
      <c r="CS16" s="250"/>
      <c r="CT16" s="250"/>
      <c r="CU16" s="250"/>
      <c r="CV16" s="250"/>
      <c r="CW16" s="250"/>
      <c r="CX16" s="250"/>
    </row>
    <row r="17" spans="1:102" s="231" customFormat="1" ht="17.100000000000001" hidden="1" customHeight="1">
      <c r="A17" s="95" t="s">
        <v>239</v>
      </c>
      <c r="B17" s="223" t="s">
        <v>242</v>
      </c>
      <c r="C17" s="13"/>
      <c r="D17" s="298">
        <f t="shared" si="4"/>
        <v>0</v>
      </c>
      <c r="E17" s="298">
        <f>'Додаток2 скор'!E17</f>
        <v>0</v>
      </c>
      <c r="F17" s="298">
        <f t="shared" si="5"/>
        <v>0</v>
      </c>
      <c r="G17" s="306">
        <f>'Додаток2 скор'!G17</f>
        <v>0</v>
      </c>
      <c r="H17" s="298">
        <f>'Додаток2 скор'!H17</f>
        <v>0</v>
      </c>
      <c r="I17" s="298">
        <f>'Додаток2 скор'!I17</f>
        <v>0</v>
      </c>
      <c r="J17" s="322">
        <f t="shared" si="0"/>
        <v>0</v>
      </c>
      <c r="K17" s="298">
        <f>'Додаток2 скор'!K17</f>
        <v>0</v>
      </c>
      <c r="L17" s="306">
        <f>'Додаток2 скор'!L17</f>
        <v>0</v>
      </c>
      <c r="M17" s="298">
        <f>'Додаток2 скор'!M17</f>
        <v>0</v>
      </c>
      <c r="N17" s="298">
        <f>'Додаток2 скор'!N17</f>
        <v>0</v>
      </c>
      <c r="O17" s="322">
        <f t="shared" si="1"/>
        <v>0</v>
      </c>
      <c r="P17" s="298">
        <f>'Додаток2 скор'!P17</f>
        <v>0</v>
      </c>
      <c r="Q17" s="306">
        <f>'Додаток2 скор'!Q17</f>
        <v>0</v>
      </c>
      <c r="R17" s="298">
        <f>'Додаток2 скор'!R17</f>
        <v>0</v>
      </c>
      <c r="S17" s="298">
        <f>'Додаток2 скор'!S17</f>
        <v>0</v>
      </c>
      <c r="T17" s="322">
        <f t="shared" si="2"/>
        <v>0</v>
      </c>
      <c r="U17" s="298">
        <f>'Додаток2 скор'!U17</f>
        <v>0</v>
      </c>
      <c r="V17" s="306">
        <f>'Додаток2 скор'!V17</f>
        <v>0</v>
      </c>
      <c r="W17" s="57">
        <f t="shared" si="6"/>
        <v>0</v>
      </c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</row>
    <row r="18" spans="1:102" s="231" customFormat="1" ht="17.100000000000001" customHeight="1">
      <c r="A18" s="95" t="s">
        <v>34</v>
      </c>
      <c r="B18" s="223" t="s">
        <v>244</v>
      </c>
      <c r="C18" s="13" t="s">
        <v>30</v>
      </c>
      <c r="D18" s="298">
        <f t="shared" si="4"/>
        <v>12127.67</v>
      </c>
      <c r="E18" s="298">
        <f>'Додаток2 скор'!E18+'Додаток3 скор'!D15</f>
        <v>50.22</v>
      </c>
      <c r="F18" s="298">
        <f t="shared" si="5"/>
        <v>23362.77</v>
      </c>
      <c r="G18" s="306">
        <f>'Додаток2 скор'!G18+'Додаток3 скор'!F15</f>
        <v>96.74</v>
      </c>
      <c r="H18" s="298">
        <f>'Додаток2 скор'!H18+'Додаток3 скор'!G15</f>
        <v>10310.57</v>
      </c>
      <c r="I18" s="298">
        <f>'Додаток2 скор'!I18+'Додаток3 скор'!H15</f>
        <v>50.22</v>
      </c>
      <c r="J18" s="322">
        <f t="shared" si="0"/>
        <v>1.9115</v>
      </c>
      <c r="K18" s="298">
        <f>'Додаток2 скор'!K18+'Додаток3 скор'!J15</f>
        <v>19708.21</v>
      </c>
      <c r="L18" s="306">
        <f>'Додаток2 скор'!L18+'Додаток3 скор'!K15</f>
        <v>96</v>
      </c>
      <c r="M18" s="298">
        <f>'Додаток2 скор'!M18+'Додаток3 скор'!L15</f>
        <v>1368.19</v>
      </c>
      <c r="N18" s="298">
        <f>'Додаток2 скор'!N18+'Додаток3 скор'!M15</f>
        <v>50.22</v>
      </c>
      <c r="O18" s="322">
        <f t="shared" si="1"/>
        <v>2.0112000000000001</v>
      </c>
      <c r="P18" s="298">
        <f>'Додаток2 скор'!P18+'Додаток3 скор'!O15</f>
        <v>2751.72</v>
      </c>
      <c r="Q18" s="306">
        <f>'Додаток2 скор'!Q18+'Додаток3 скор'!P15</f>
        <v>101</v>
      </c>
      <c r="R18" s="298">
        <f>'Додаток2 скор'!R18+'Додаток3 скор'!Q15</f>
        <v>448.91</v>
      </c>
      <c r="S18" s="298">
        <f>'Додаток2 скор'!S18+'Додаток3 скор'!R15</f>
        <v>50.22</v>
      </c>
      <c r="T18" s="322">
        <f t="shared" si="2"/>
        <v>2.0112000000000001</v>
      </c>
      <c r="U18" s="298">
        <f>'Додаток2 скор'!U18+'Додаток3 скор'!T15</f>
        <v>902.84</v>
      </c>
      <c r="V18" s="306">
        <f>'Додаток2 скор'!V18+'Додаток3 скор'!U15</f>
        <v>101</v>
      </c>
      <c r="W18" s="57">
        <f t="shared" si="6"/>
        <v>101</v>
      </c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/>
      <c r="CN18" s="250"/>
      <c r="CO18" s="250"/>
      <c r="CP18" s="250"/>
      <c r="CQ18" s="250"/>
      <c r="CR18" s="250"/>
      <c r="CS18" s="250"/>
      <c r="CT18" s="250"/>
      <c r="CU18" s="250"/>
      <c r="CV18" s="250"/>
      <c r="CW18" s="250"/>
      <c r="CX18" s="250"/>
    </row>
    <row r="19" spans="1:102" s="231" customFormat="1" ht="17.100000000000001" customHeight="1">
      <c r="A19" s="95" t="s">
        <v>245</v>
      </c>
      <c r="B19" s="295" t="s">
        <v>260</v>
      </c>
      <c r="C19" s="13"/>
      <c r="D19" s="298">
        <f t="shared" si="4"/>
        <v>1092.22</v>
      </c>
      <c r="E19" s="298">
        <f>'Додаток2 скор'!E19+'Додаток3 скор'!D16</f>
        <v>4.5199999999999996</v>
      </c>
      <c r="F19" s="298">
        <f t="shared" si="5"/>
        <v>2100.2800000000002</v>
      </c>
      <c r="G19" s="306">
        <f>'Додаток2 скор'!G19+'Додаток3 скор'!F16</f>
        <v>8.6999999999999993</v>
      </c>
      <c r="H19" s="298">
        <f>'Додаток2 скор'!H19+'Додаток3 скор'!G16</f>
        <v>928.57</v>
      </c>
      <c r="I19" s="298">
        <f>'Додаток2 скор'!I19+'Додаток3 скор'!H16</f>
        <v>4.5199999999999996</v>
      </c>
      <c r="J19" s="322">
        <f t="shared" si="0"/>
        <v>1.9080999999999999</v>
      </c>
      <c r="K19" s="298">
        <f>'Додаток2 скор'!K19+'Додаток3 скор'!J16</f>
        <v>1771.8</v>
      </c>
      <c r="L19" s="306">
        <f>'Додаток2 скор'!L19+'Додаток3 скор'!K16</f>
        <v>8.6300000000000008</v>
      </c>
      <c r="M19" s="298">
        <f>'Додаток2 скор'!M19+'Додаток3 скор'!L16</f>
        <v>123.22</v>
      </c>
      <c r="N19" s="298">
        <f>'Додаток2 скор'!N19+'Додаток3 скор'!M16</f>
        <v>4.5199999999999996</v>
      </c>
      <c r="O19" s="322">
        <f t="shared" si="1"/>
        <v>2.0072000000000001</v>
      </c>
      <c r="P19" s="298">
        <f>'Додаток2 скор'!P19+'Додаток3 скор'!O16</f>
        <v>247.33</v>
      </c>
      <c r="Q19" s="306">
        <f>'Додаток2 скор'!Q19+'Додаток3 скор'!P16</f>
        <v>9.08</v>
      </c>
      <c r="R19" s="298">
        <f>'Додаток2 скор'!R19+'Додаток3 скор'!Q16</f>
        <v>40.43</v>
      </c>
      <c r="S19" s="298">
        <f>'Додаток2 скор'!S19+'Додаток3 скор'!R16</f>
        <v>4.5199999999999996</v>
      </c>
      <c r="T19" s="322">
        <f t="shared" si="2"/>
        <v>2.0072000000000001</v>
      </c>
      <c r="U19" s="298">
        <f>'Додаток2 скор'!U19+'Додаток3 скор'!T16</f>
        <v>81.150000000000006</v>
      </c>
      <c r="V19" s="306">
        <f>'Додаток2 скор'!V19+'Додаток3 скор'!U16</f>
        <v>9.08</v>
      </c>
      <c r="W19" s="57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</row>
    <row r="20" spans="1:102" s="231" customFormat="1" ht="18.75" customHeight="1">
      <c r="A20" s="95" t="s">
        <v>246</v>
      </c>
      <c r="B20" s="295" t="s">
        <v>261</v>
      </c>
      <c r="C20" s="13"/>
      <c r="D20" s="298">
        <f t="shared" si="4"/>
        <v>11035.45</v>
      </c>
      <c r="E20" s="298">
        <f>'Додаток2 скор'!E20+'Додаток3 скор'!D17</f>
        <v>45.7</v>
      </c>
      <c r="F20" s="298">
        <f t="shared" si="5"/>
        <v>21262.49</v>
      </c>
      <c r="G20" s="306">
        <f>'Додаток2 скор'!G20+'Додаток3 скор'!F17</f>
        <v>88.04</v>
      </c>
      <c r="H20" s="298">
        <f>'Додаток2 скор'!H20+'Додаток3 скор'!G17</f>
        <v>9382</v>
      </c>
      <c r="I20" s="298">
        <f>'Додаток2 скор'!I20+'Додаток3 скор'!H17</f>
        <v>45.7</v>
      </c>
      <c r="J20" s="322">
        <f t="shared" si="0"/>
        <v>1.9117999999999999</v>
      </c>
      <c r="K20" s="298">
        <f>'Додаток2 скор'!K20+'Додаток3 скор'!J17</f>
        <v>17936.41</v>
      </c>
      <c r="L20" s="306">
        <f>'Додаток2 скор'!L20+'Додаток3 скор'!K17</f>
        <v>87.37</v>
      </c>
      <c r="M20" s="298">
        <f>'Додаток2 скор'!M20+'Додаток3 скор'!L17</f>
        <v>1244.97</v>
      </c>
      <c r="N20" s="298">
        <f>'Додаток2 скор'!N20+'Додаток3 скор'!M17</f>
        <v>45.7</v>
      </c>
      <c r="O20" s="322">
        <f t="shared" si="1"/>
        <v>2.0116000000000001</v>
      </c>
      <c r="P20" s="298">
        <f>'Додаток2 скор'!P20+'Додаток3 скор'!O17</f>
        <v>2504.39</v>
      </c>
      <c r="Q20" s="306">
        <f>'Додаток2 скор'!Q20+'Додаток3 скор'!P17</f>
        <v>91.92</v>
      </c>
      <c r="R20" s="298">
        <f>'Додаток2 скор'!R20+'Додаток3 скор'!Q17</f>
        <v>408.48</v>
      </c>
      <c r="S20" s="298">
        <f>'Додаток2 скор'!S20+'Додаток3 скор'!R17</f>
        <v>45.7</v>
      </c>
      <c r="T20" s="322">
        <f t="shared" si="2"/>
        <v>2.0116000000000001</v>
      </c>
      <c r="U20" s="298">
        <f>'Додаток2 скор'!U20+'Додаток3 скор'!T17</f>
        <v>821.69</v>
      </c>
      <c r="V20" s="306">
        <f>'Додаток2 скор'!V20+'Додаток3 скор'!U17</f>
        <v>91.92</v>
      </c>
      <c r="W20" s="57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0"/>
      <c r="CJ20" s="250"/>
      <c r="CK20" s="250"/>
      <c r="CL20" s="250"/>
      <c r="CM20" s="250"/>
      <c r="CN20" s="250"/>
      <c r="CO20" s="250"/>
      <c r="CP20" s="250"/>
      <c r="CQ20" s="250"/>
      <c r="CR20" s="250"/>
      <c r="CS20" s="250"/>
      <c r="CT20" s="250"/>
      <c r="CU20" s="250"/>
      <c r="CV20" s="250"/>
      <c r="CW20" s="250"/>
      <c r="CX20" s="250"/>
    </row>
    <row r="21" spans="1:102" s="231" customFormat="1" ht="21" customHeight="1">
      <c r="A21" s="95" t="s">
        <v>35</v>
      </c>
      <c r="B21" s="223" t="s">
        <v>195</v>
      </c>
      <c r="C21" s="13" t="s">
        <v>30</v>
      </c>
      <c r="D21" s="298">
        <f t="shared" si="4"/>
        <v>0</v>
      </c>
      <c r="E21" s="298">
        <f>'Додаток2 скор'!E21</f>
        <v>0</v>
      </c>
      <c r="F21" s="298">
        <f t="shared" si="5"/>
        <v>0</v>
      </c>
      <c r="G21" s="306">
        <f>'Додаток2 скор'!G21</f>
        <v>0</v>
      </c>
      <c r="H21" s="298">
        <f>'Додаток2 скор'!H21</f>
        <v>0</v>
      </c>
      <c r="I21" s="298">
        <f>'Додаток2 скор'!I21</f>
        <v>0</v>
      </c>
      <c r="J21" s="322">
        <f t="shared" si="0"/>
        <v>0</v>
      </c>
      <c r="K21" s="298">
        <f>'Додаток2 скор'!K21</f>
        <v>0</v>
      </c>
      <c r="L21" s="306">
        <f>'Додаток2 скор'!L21</f>
        <v>0</v>
      </c>
      <c r="M21" s="298">
        <f>'Додаток2 скор'!M21</f>
        <v>0</v>
      </c>
      <c r="N21" s="298">
        <f>'Додаток2 скор'!N21</f>
        <v>0</v>
      </c>
      <c r="O21" s="322">
        <f t="shared" si="1"/>
        <v>0</v>
      </c>
      <c r="P21" s="298">
        <f>'Додаток2 скор'!P21</f>
        <v>0</v>
      </c>
      <c r="Q21" s="306">
        <f>'Додаток2 скор'!Q21</f>
        <v>0</v>
      </c>
      <c r="R21" s="298">
        <f>'Додаток2 скор'!R21</f>
        <v>0</v>
      </c>
      <c r="S21" s="298">
        <f>'Додаток2 скор'!S21</f>
        <v>0</v>
      </c>
      <c r="T21" s="322">
        <f t="shared" si="2"/>
        <v>0</v>
      </c>
      <c r="U21" s="298">
        <f>'Додаток2 скор'!U21</f>
        <v>0</v>
      </c>
      <c r="V21" s="306">
        <f>'Додаток2 скор'!V21</f>
        <v>0</v>
      </c>
      <c r="W21" s="57">
        <f t="shared" ref="W21:W36" si="7">U21/$U$59*1000</f>
        <v>0</v>
      </c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  <c r="CR21" s="250"/>
      <c r="CS21" s="250"/>
      <c r="CT21" s="250"/>
      <c r="CU21" s="250"/>
      <c r="CV21" s="250"/>
      <c r="CW21" s="250"/>
      <c r="CX21" s="250"/>
    </row>
    <row r="22" spans="1:102" s="231" customFormat="1" ht="15.75" hidden="1" customHeight="1">
      <c r="A22" s="95" t="s">
        <v>197</v>
      </c>
      <c r="B22" s="223">
        <f>'Додаток2 скор'!B22</f>
        <v>0</v>
      </c>
      <c r="C22" s="13"/>
      <c r="D22" s="298">
        <f t="shared" si="4"/>
        <v>0</v>
      </c>
      <c r="E22" s="298">
        <f>'Додаток2 скор'!E22</f>
        <v>0</v>
      </c>
      <c r="F22" s="298">
        <f t="shared" si="5"/>
        <v>0</v>
      </c>
      <c r="G22" s="306">
        <f>'Додаток2 скор'!G22</f>
        <v>0</v>
      </c>
      <c r="H22" s="298">
        <f>'Додаток2 скор'!H22</f>
        <v>0</v>
      </c>
      <c r="I22" s="298">
        <f>'Додаток2 скор'!I22</f>
        <v>0</v>
      </c>
      <c r="J22" s="322">
        <f t="shared" si="0"/>
        <v>0</v>
      </c>
      <c r="K22" s="298">
        <f>'Додаток2 скор'!K22</f>
        <v>0</v>
      </c>
      <c r="L22" s="306">
        <f>'Додаток2 скор'!L22</f>
        <v>0</v>
      </c>
      <c r="M22" s="298">
        <f>'Додаток2 скор'!M22</f>
        <v>0</v>
      </c>
      <c r="N22" s="298">
        <f>'Додаток2 скор'!N22</f>
        <v>0</v>
      </c>
      <c r="O22" s="322">
        <f t="shared" si="1"/>
        <v>0</v>
      </c>
      <c r="P22" s="298">
        <f>'Додаток2 скор'!P22</f>
        <v>0</v>
      </c>
      <c r="Q22" s="306">
        <f>'Додаток2 скор'!Q22</f>
        <v>0</v>
      </c>
      <c r="R22" s="298">
        <f>'Додаток2 скор'!R22</f>
        <v>0</v>
      </c>
      <c r="S22" s="298">
        <f>'Додаток2 скор'!S22</f>
        <v>0</v>
      </c>
      <c r="T22" s="322">
        <f t="shared" si="2"/>
        <v>0</v>
      </c>
      <c r="U22" s="298">
        <f>'Додаток2 скор'!U22</f>
        <v>0</v>
      </c>
      <c r="V22" s="306">
        <f>'Додаток2 скор'!V22</f>
        <v>0</v>
      </c>
      <c r="W22" s="57">
        <f t="shared" si="7"/>
        <v>0</v>
      </c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0"/>
      <c r="CO22" s="250"/>
      <c r="CP22" s="250"/>
      <c r="CQ22" s="250"/>
      <c r="CR22" s="250"/>
      <c r="CS22" s="250"/>
      <c r="CT22" s="250"/>
      <c r="CU22" s="250"/>
      <c r="CV22" s="250"/>
      <c r="CW22" s="250"/>
      <c r="CX22" s="250"/>
    </row>
    <row r="23" spans="1:102" s="231" customFormat="1" ht="15.75" hidden="1" customHeight="1">
      <c r="A23" s="95" t="s">
        <v>198</v>
      </c>
      <c r="B23" s="257" t="str">
        <f>'Додаток2 скор'!B23</f>
        <v xml:space="preserve"> </v>
      </c>
      <c r="C23" s="13"/>
      <c r="D23" s="298">
        <f t="shared" si="4"/>
        <v>0</v>
      </c>
      <c r="E23" s="298">
        <f>'Додаток2 скор'!E23</f>
        <v>0</v>
      </c>
      <c r="F23" s="298">
        <f t="shared" si="5"/>
        <v>0</v>
      </c>
      <c r="G23" s="306">
        <f>'Додаток2 скор'!G23</f>
        <v>0</v>
      </c>
      <c r="H23" s="298">
        <f>'Додаток2 скор'!H23</f>
        <v>0</v>
      </c>
      <c r="I23" s="298">
        <f>'Додаток2 скор'!I23</f>
        <v>0</v>
      </c>
      <c r="J23" s="322">
        <f t="shared" si="0"/>
        <v>0</v>
      </c>
      <c r="K23" s="298">
        <f>'Додаток2 скор'!K23</f>
        <v>0</v>
      </c>
      <c r="L23" s="306">
        <f>'Додаток2 скор'!L23</f>
        <v>0</v>
      </c>
      <c r="M23" s="298">
        <f>'Додаток2 скор'!M23</f>
        <v>0</v>
      </c>
      <c r="N23" s="298">
        <f>'Додаток2 скор'!N23</f>
        <v>0</v>
      </c>
      <c r="O23" s="322">
        <f t="shared" si="1"/>
        <v>0</v>
      </c>
      <c r="P23" s="298">
        <f>'Додаток2 скор'!P23</f>
        <v>0</v>
      </c>
      <c r="Q23" s="306">
        <f>'Додаток2 скор'!Q23</f>
        <v>0</v>
      </c>
      <c r="R23" s="298">
        <f>'Додаток2 скор'!R23</f>
        <v>0</v>
      </c>
      <c r="S23" s="298">
        <f>'Додаток2 скор'!S23</f>
        <v>0</v>
      </c>
      <c r="T23" s="322">
        <f t="shared" si="2"/>
        <v>0</v>
      </c>
      <c r="U23" s="298">
        <f>'Додаток2 скор'!U23</f>
        <v>0</v>
      </c>
      <c r="V23" s="306">
        <f>'Додаток2 скор'!V23</f>
        <v>0</v>
      </c>
      <c r="W23" s="57">
        <f t="shared" si="7"/>
        <v>0</v>
      </c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0"/>
      <c r="CB23" s="250"/>
      <c r="CC23" s="250"/>
      <c r="CD23" s="250"/>
      <c r="CE23" s="250"/>
      <c r="CF23" s="250"/>
      <c r="CG23" s="250"/>
      <c r="CH23" s="250"/>
      <c r="CI23" s="250"/>
      <c r="CJ23" s="250"/>
      <c r="CK23" s="250"/>
      <c r="CL23" s="250"/>
      <c r="CM23" s="250"/>
      <c r="CN23" s="250"/>
      <c r="CO23" s="250"/>
      <c r="CP23" s="250"/>
      <c r="CQ23" s="250"/>
      <c r="CR23" s="250"/>
      <c r="CS23" s="250"/>
      <c r="CT23" s="250"/>
      <c r="CU23" s="250"/>
      <c r="CV23" s="250"/>
      <c r="CW23" s="250"/>
      <c r="CX23" s="250"/>
    </row>
    <row r="24" spans="1:102" s="231" customFormat="1" ht="19.5" customHeight="1">
      <c r="A24" s="95" t="s">
        <v>36</v>
      </c>
      <c r="B24" s="223" t="s">
        <v>196</v>
      </c>
      <c r="C24" s="13"/>
      <c r="D24" s="298">
        <f t="shared" si="4"/>
        <v>0</v>
      </c>
      <c r="E24" s="298">
        <f>'Додаток2 скор'!E24</f>
        <v>0</v>
      </c>
      <c r="F24" s="298">
        <f t="shared" si="5"/>
        <v>0</v>
      </c>
      <c r="G24" s="306">
        <f>'Додаток2 скор'!G24</f>
        <v>0</v>
      </c>
      <c r="H24" s="298">
        <f>'Додаток2 скор'!H24</f>
        <v>0</v>
      </c>
      <c r="I24" s="298">
        <f>'Додаток2 скор'!I24</f>
        <v>0</v>
      </c>
      <c r="J24" s="322">
        <f t="shared" si="0"/>
        <v>0</v>
      </c>
      <c r="K24" s="298">
        <f>'Додаток2 скор'!K24</f>
        <v>0</v>
      </c>
      <c r="L24" s="306">
        <f>'Додаток2 скор'!L24</f>
        <v>0</v>
      </c>
      <c r="M24" s="298">
        <f>'Додаток2 скор'!M24</f>
        <v>0</v>
      </c>
      <c r="N24" s="298">
        <f>'Додаток2 скор'!N24</f>
        <v>0</v>
      </c>
      <c r="O24" s="322">
        <f t="shared" si="1"/>
        <v>0</v>
      </c>
      <c r="P24" s="298">
        <f>'Додаток2 скор'!P24</f>
        <v>0</v>
      </c>
      <c r="Q24" s="306">
        <f>'Додаток2 скор'!Q24</f>
        <v>0</v>
      </c>
      <c r="R24" s="298">
        <f>'Додаток2 скор'!R24</f>
        <v>0</v>
      </c>
      <c r="S24" s="298">
        <f>'Додаток2 скор'!S24</f>
        <v>0</v>
      </c>
      <c r="T24" s="322">
        <f t="shared" si="2"/>
        <v>0</v>
      </c>
      <c r="U24" s="298">
        <f>'Додаток2 скор'!U24</f>
        <v>0</v>
      </c>
      <c r="V24" s="306">
        <f>'Додаток2 скор'!V24</f>
        <v>0</v>
      </c>
      <c r="W24" s="57">
        <f t="shared" si="7"/>
        <v>0</v>
      </c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0"/>
      <c r="CB24" s="250"/>
      <c r="CC24" s="250"/>
      <c r="CD24" s="250"/>
      <c r="CE24" s="250"/>
      <c r="CF24" s="250"/>
      <c r="CG24" s="250"/>
      <c r="CH24" s="250"/>
      <c r="CI24" s="250"/>
      <c r="CJ24" s="250"/>
      <c r="CK24" s="250"/>
      <c r="CL24" s="250"/>
      <c r="CM24" s="250"/>
      <c r="CN24" s="250"/>
      <c r="CO24" s="250"/>
      <c r="CP24" s="250"/>
      <c r="CQ24" s="250"/>
      <c r="CR24" s="250"/>
      <c r="CS24" s="250"/>
      <c r="CT24" s="250"/>
      <c r="CU24" s="250"/>
      <c r="CV24" s="250"/>
      <c r="CW24" s="250"/>
      <c r="CX24" s="250"/>
    </row>
    <row r="25" spans="1:102" s="231" customFormat="1" ht="15.75" hidden="1" customHeight="1">
      <c r="A25" s="95" t="s">
        <v>200</v>
      </c>
      <c r="B25" s="223">
        <f>'Додаток2 скор'!B25</f>
        <v>0</v>
      </c>
      <c r="C25" s="13"/>
      <c r="D25" s="298">
        <f t="shared" si="4"/>
        <v>0</v>
      </c>
      <c r="E25" s="298">
        <f>'Додаток2 скор'!E25</f>
        <v>0</v>
      </c>
      <c r="F25" s="298">
        <f t="shared" si="5"/>
        <v>0</v>
      </c>
      <c r="G25" s="306">
        <f>'Додаток2 скор'!G25</f>
        <v>0</v>
      </c>
      <c r="H25" s="298">
        <f>'Додаток2 скор'!H25</f>
        <v>0</v>
      </c>
      <c r="I25" s="298">
        <f>'Додаток2 скор'!I25</f>
        <v>0</v>
      </c>
      <c r="J25" s="322">
        <f t="shared" si="0"/>
        <v>0</v>
      </c>
      <c r="K25" s="298">
        <f>'Додаток2 скор'!K25</f>
        <v>0</v>
      </c>
      <c r="L25" s="306">
        <f>'Додаток2 скор'!L25</f>
        <v>0</v>
      </c>
      <c r="M25" s="298">
        <f>'Додаток2 скор'!M25</f>
        <v>0</v>
      </c>
      <c r="N25" s="298">
        <f>'Додаток2 скор'!N25</f>
        <v>0</v>
      </c>
      <c r="O25" s="322">
        <f t="shared" si="1"/>
        <v>0</v>
      </c>
      <c r="P25" s="298">
        <f>'Додаток2 скор'!P25</f>
        <v>0</v>
      </c>
      <c r="Q25" s="306">
        <f>'Додаток2 скор'!Q25</f>
        <v>0</v>
      </c>
      <c r="R25" s="298">
        <f>'Додаток2 скор'!R25</f>
        <v>0</v>
      </c>
      <c r="S25" s="298">
        <f>'Додаток2 скор'!S25</f>
        <v>0</v>
      </c>
      <c r="T25" s="322">
        <f t="shared" si="2"/>
        <v>0</v>
      </c>
      <c r="U25" s="298">
        <f>'Додаток2 скор'!U25</f>
        <v>0</v>
      </c>
      <c r="V25" s="306">
        <f>'Додаток2 скор'!V25</f>
        <v>0</v>
      </c>
      <c r="W25" s="57">
        <f t="shared" si="7"/>
        <v>0</v>
      </c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250"/>
      <c r="BL25" s="250"/>
      <c r="BM25" s="250"/>
      <c r="BN25" s="250"/>
      <c r="BO25" s="250"/>
      <c r="BP25" s="250"/>
      <c r="BQ25" s="250"/>
      <c r="BR25" s="250"/>
      <c r="BS25" s="250"/>
      <c r="BT25" s="250"/>
      <c r="BU25" s="250"/>
      <c r="BV25" s="250"/>
      <c r="BW25" s="250"/>
      <c r="BX25" s="250"/>
      <c r="BY25" s="250"/>
      <c r="BZ25" s="250"/>
      <c r="CA25" s="250"/>
      <c r="CB25" s="250"/>
      <c r="CC25" s="250"/>
      <c r="CD25" s="250"/>
      <c r="CE25" s="250"/>
      <c r="CF25" s="250"/>
      <c r="CG25" s="250"/>
      <c r="CH25" s="250"/>
      <c r="CI25" s="250"/>
      <c r="CJ25" s="250"/>
      <c r="CK25" s="250"/>
      <c r="CL25" s="250"/>
      <c r="CM25" s="250"/>
      <c r="CN25" s="250"/>
      <c r="CO25" s="250"/>
      <c r="CP25" s="250"/>
      <c r="CQ25" s="250"/>
      <c r="CR25" s="250"/>
      <c r="CS25" s="250"/>
      <c r="CT25" s="250"/>
      <c r="CU25" s="250"/>
      <c r="CV25" s="250"/>
      <c r="CW25" s="250"/>
      <c r="CX25" s="250"/>
    </row>
    <row r="26" spans="1:102" s="231" customFormat="1" ht="15.75" hidden="1" customHeight="1">
      <c r="A26" s="95" t="s">
        <v>201</v>
      </c>
      <c r="B26" s="223">
        <f>'Додаток2 скор'!B26</f>
        <v>0</v>
      </c>
      <c r="C26" s="13"/>
      <c r="D26" s="298">
        <f t="shared" si="4"/>
        <v>0</v>
      </c>
      <c r="E26" s="298">
        <f>'Додаток2 скор'!E26</f>
        <v>0</v>
      </c>
      <c r="F26" s="298">
        <f t="shared" si="5"/>
        <v>0</v>
      </c>
      <c r="G26" s="306">
        <f>'Додаток2 скор'!G26</f>
        <v>0</v>
      </c>
      <c r="H26" s="298">
        <f>'Додаток2 скор'!H26</f>
        <v>0</v>
      </c>
      <c r="I26" s="298">
        <f>'Додаток2 скор'!I26</f>
        <v>0</v>
      </c>
      <c r="J26" s="322">
        <f t="shared" si="0"/>
        <v>0</v>
      </c>
      <c r="K26" s="298">
        <f>'Додаток2 скор'!K26</f>
        <v>0</v>
      </c>
      <c r="L26" s="306">
        <f>'Додаток2 скор'!L26</f>
        <v>0</v>
      </c>
      <c r="M26" s="298">
        <f>'Додаток2 скор'!M26</f>
        <v>0</v>
      </c>
      <c r="N26" s="298">
        <f>'Додаток2 скор'!N26</f>
        <v>0</v>
      </c>
      <c r="O26" s="322">
        <f t="shared" si="1"/>
        <v>0</v>
      </c>
      <c r="P26" s="298">
        <f>'Додаток2 скор'!P26</f>
        <v>0</v>
      </c>
      <c r="Q26" s="306">
        <f>'Додаток2 скор'!Q26</f>
        <v>0</v>
      </c>
      <c r="R26" s="298">
        <f>'Додаток2 скор'!R26</f>
        <v>0</v>
      </c>
      <c r="S26" s="298">
        <f>'Додаток2 скор'!S26</f>
        <v>0</v>
      </c>
      <c r="T26" s="322">
        <f t="shared" si="2"/>
        <v>0</v>
      </c>
      <c r="U26" s="298">
        <f>'Додаток2 скор'!U26</f>
        <v>0</v>
      </c>
      <c r="V26" s="306">
        <f>'Додаток2 скор'!V26</f>
        <v>0</v>
      </c>
      <c r="W26" s="57">
        <f t="shared" si="7"/>
        <v>0</v>
      </c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250"/>
      <c r="CA26" s="250"/>
      <c r="CB26" s="250"/>
      <c r="CC26" s="250"/>
      <c r="CD26" s="250"/>
      <c r="CE26" s="250"/>
      <c r="CF26" s="250"/>
      <c r="CG26" s="250"/>
      <c r="CH26" s="250"/>
      <c r="CI26" s="250"/>
      <c r="CJ26" s="250"/>
      <c r="CK26" s="250"/>
      <c r="CL26" s="250"/>
      <c r="CM26" s="250"/>
      <c r="CN26" s="250"/>
      <c r="CO26" s="250"/>
      <c r="CP26" s="250"/>
      <c r="CQ26" s="250"/>
      <c r="CR26" s="250"/>
      <c r="CS26" s="250"/>
      <c r="CT26" s="250"/>
      <c r="CU26" s="250"/>
      <c r="CV26" s="250"/>
      <c r="CW26" s="250"/>
      <c r="CX26" s="250"/>
    </row>
    <row r="27" spans="1:102" s="254" customFormat="1" ht="33.75" customHeight="1">
      <c r="A27" s="95" t="s">
        <v>38</v>
      </c>
      <c r="B27" s="223" t="str">
        <f>Додаток3!B12</f>
        <v xml:space="preserve">транспортування теплової енергії тепловими мережами інших підприємств </v>
      </c>
      <c r="C27" s="13"/>
      <c r="D27" s="298">
        <f t="shared" si="4"/>
        <v>0</v>
      </c>
      <c r="E27" s="298">
        <f>'Додаток3 скор'!D18</f>
        <v>0</v>
      </c>
      <c r="F27" s="298">
        <f t="shared" si="5"/>
        <v>0</v>
      </c>
      <c r="G27" s="306">
        <f>'Додаток3 скор'!F18</f>
        <v>0</v>
      </c>
      <c r="H27" s="298">
        <f>'Додаток3 скор'!G18</f>
        <v>0</v>
      </c>
      <c r="I27" s="298">
        <f>'Додаток3 скор'!H18</f>
        <v>0</v>
      </c>
      <c r="J27" s="322">
        <f t="shared" si="0"/>
        <v>0</v>
      </c>
      <c r="K27" s="298">
        <f>'Додаток3 скор'!J18</f>
        <v>0</v>
      </c>
      <c r="L27" s="306">
        <f>'Додаток3 скор'!K18</f>
        <v>0</v>
      </c>
      <c r="M27" s="298">
        <f>'Додаток3 скор'!L18</f>
        <v>0</v>
      </c>
      <c r="N27" s="298">
        <f>'Додаток3 скор'!M18</f>
        <v>0</v>
      </c>
      <c r="O27" s="322">
        <f t="shared" si="1"/>
        <v>0</v>
      </c>
      <c r="P27" s="298">
        <f>'Додаток3 скор'!O18</f>
        <v>0</v>
      </c>
      <c r="Q27" s="306">
        <f>'Додаток3 скор'!P18</f>
        <v>0</v>
      </c>
      <c r="R27" s="298">
        <f>'Додаток3 скор'!Q18</f>
        <v>0</v>
      </c>
      <c r="S27" s="298">
        <f>'Додаток3 скор'!R18</f>
        <v>0</v>
      </c>
      <c r="T27" s="322">
        <f t="shared" si="2"/>
        <v>0</v>
      </c>
      <c r="U27" s="298">
        <f>'Додаток3 скор'!T18</f>
        <v>0</v>
      </c>
      <c r="V27" s="306">
        <f>'Додаток3 скор'!U18</f>
        <v>0</v>
      </c>
      <c r="W27" s="57">
        <f t="shared" si="7"/>
        <v>0</v>
      </c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</row>
    <row r="28" spans="1:102" s="231" customFormat="1" ht="18" customHeight="1">
      <c r="A28" s="95" t="s">
        <v>135</v>
      </c>
      <c r="B28" s="223" t="s">
        <v>37</v>
      </c>
      <c r="C28" s="13" t="s">
        <v>30</v>
      </c>
      <c r="D28" s="298">
        <f t="shared" si="4"/>
        <v>1038.47</v>
      </c>
      <c r="E28" s="298">
        <f>'Додаток2 скор'!E27+'Додаток3 скор'!D19</f>
        <v>4.3</v>
      </c>
      <c r="F28" s="298">
        <f t="shared" si="5"/>
        <v>1038.47</v>
      </c>
      <c r="G28" s="306">
        <f>'Додаток2 скор'!G27+'Додаток3 скор'!F19</f>
        <v>4.3</v>
      </c>
      <c r="H28" s="298">
        <f>'Додаток2 скор'!H27+'Додаток3 скор'!G19</f>
        <v>882.88</v>
      </c>
      <c r="I28" s="298">
        <f>'Додаток2 скор'!I27+'Додаток3 скор'!H19</f>
        <v>4.3</v>
      </c>
      <c r="J28" s="322">
        <f t="shared" si="0"/>
        <v>1</v>
      </c>
      <c r="K28" s="298">
        <f>'Додаток2 скор'!K27+'Додаток3 скор'!J19</f>
        <v>882.88</v>
      </c>
      <c r="L28" s="306">
        <f>'Додаток2 скор'!L27+'Додаток3 скор'!K19</f>
        <v>4.3</v>
      </c>
      <c r="M28" s="298">
        <f>'Додаток2 скор'!M27+'Додаток3 скор'!L19</f>
        <v>117.15</v>
      </c>
      <c r="N28" s="298">
        <f>'Додаток2 скор'!N27+'Додаток3 скор'!M19</f>
        <v>4.3</v>
      </c>
      <c r="O28" s="322">
        <f t="shared" si="1"/>
        <v>1</v>
      </c>
      <c r="P28" s="298">
        <f>'Додаток2 скор'!P27+'Додаток3 скор'!O19</f>
        <v>117.15</v>
      </c>
      <c r="Q28" s="306">
        <f>'Додаток2 скор'!Q27+'Додаток3 скор'!P19</f>
        <v>4.3</v>
      </c>
      <c r="R28" s="298">
        <f>'Додаток2 скор'!U27+'Додаток3 скор'!T19</f>
        <v>38.44</v>
      </c>
      <c r="S28" s="298">
        <f>'Додаток2 скор'!S27+'Додаток3 скор'!R19</f>
        <v>4.3</v>
      </c>
      <c r="T28" s="322">
        <f t="shared" si="2"/>
        <v>1</v>
      </c>
      <c r="U28" s="298">
        <f>'Додаток2 скор'!U27+'Додаток3 скор'!T19</f>
        <v>38.44</v>
      </c>
      <c r="V28" s="306">
        <f>'Додаток2 скор'!V27+'Додаток3 скор'!U19</f>
        <v>4.3</v>
      </c>
      <c r="W28" s="57">
        <f t="shared" si="7"/>
        <v>4.3</v>
      </c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  <c r="BJ28" s="250"/>
      <c r="BK28" s="250"/>
      <c r="BL28" s="250"/>
      <c r="BM28" s="250"/>
      <c r="BN28" s="250"/>
      <c r="BO28" s="250"/>
      <c r="BP28" s="250"/>
      <c r="BQ28" s="250"/>
      <c r="BR28" s="250"/>
      <c r="BS28" s="250"/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</row>
    <row r="29" spans="1:102" s="231" customFormat="1" ht="18" customHeight="1">
      <c r="A29" s="95" t="s">
        <v>213</v>
      </c>
      <c r="B29" s="223" t="s">
        <v>39</v>
      </c>
      <c r="C29" s="13" t="s">
        <v>30</v>
      </c>
      <c r="D29" s="298">
        <f t="shared" si="4"/>
        <v>2330.67</v>
      </c>
      <c r="E29" s="298">
        <f>'Додаток2 скор'!E28+'Додаток3 скор'!D20+'Додаток4 скор'!D15</f>
        <v>9.65</v>
      </c>
      <c r="F29" s="298">
        <f t="shared" si="5"/>
        <v>2330.67</v>
      </c>
      <c r="G29" s="306">
        <f>'Додаток2 скор'!G28+'Додаток3 скор'!F20+'Додаток4 скор'!F15</f>
        <v>9.65</v>
      </c>
      <c r="H29" s="298">
        <f>'Додаток2 скор'!H28+'Додаток3 скор'!G20+'Додаток4 скор'!G15</f>
        <v>1981.47</v>
      </c>
      <c r="I29" s="298">
        <f>'Додаток2 скор'!I28+'Додаток3 скор'!H20+'Додаток4 скор'!H15</f>
        <v>9.65</v>
      </c>
      <c r="J29" s="322">
        <f t="shared" si="0"/>
        <v>1</v>
      </c>
      <c r="K29" s="298">
        <f>'Додаток2 скор'!K28+'Додаток3 скор'!J20+'Додаток4 скор'!J15</f>
        <v>1981.47</v>
      </c>
      <c r="L29" s="306">
        <f>'Додаток2 скор'!L28+'Додаток3 скор'!K20+'Додаток4 скор'!K15</f>
        <v>9.65</v>
      </c>
      <c r="M29" s="298">
        <f>'Додаток2 скор'!M28+'Додаток3 скор'!L20+'Додаток4 скор'!L15</f>
        <v>262.93</v>
      </c>
      <c r="N29" s="298">
        <f>'Додаток2 скор'!N28+'Додаток3 скор'!M20+'Додаток4 скор'!M15</f>
        <v>9.65</v>
      </c>
      <c r="O29" s="322">
        <f t="shared" si="1"/>
        <v>1</v>
      </c>
      <c r="P29" s="298">
        <f>'Додаток2 скор'!P28+'Додаток3 скор'!O20+'Додаток4 скор'!O15</f>
        <v>262.93</v>
      </c>
      <c r="Q29" s="306">
        <f>'Додаток2 скор'!Q28+'Додаток3 скор'!P20+'Додаток4 скор'!P15</f>
        <v>9.65</v>
      </c>
      <c r="R29" s="298">
        <f>'Додаток2 скор'!R28+'Додаток3 скор'!Q20+'Додаток4 скор'!Q15</f>
        <v>86.27</v>
      </c>
      <c r="S29" s="298">
        <f>'Додаток2 скор'!S28+'Додаток3 скор'!R20+'Додаток4 скор'!R15</f>
        <v>9.65</v>
      </c>
      <c r="T29" s="322">
        <f t="shared" si="2"/>
        <v>1</v>
      </c>
      <c r="U29" s="298">
        <f>'Додаток2 скор'!U28+'Додаток3 скор'!T20+'Додаток4 скор'!T15</f>
        <v>86.27</v>
      </c>
      <c r="V29" s="306">
        <f>'Додаток2 скор'!V28+'Додаток3 скор'!U20+'Додаток4 скор'!U15</f>
        <v>9.65</v>
      </c>
      <c r="W29" s="57">
        <f t="shared" si="7"/>
        <v>9.65</v>
      </c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  <c r="BJ29" s="250"/>
      <c r="BK29" s="250"/>
      <c r="BL29" s="250"/>
      <c r="BM29" s="250"/>
      <c r="BN29" s="250"/>
      <c r="BO29" s="250"/>
      <c r="BP29" s="250"/>
      <c r="BQ29" s="250"/>
      <c r="BR29" s="250"/>
      <c r="BS29" s="250"/>
      <c r="BT29" s="250"/>
      <c r="BU29" s="250"/>
      <c r="BV29" s="250"/>
      <c r="BW29" s="250"/>
      <c r="BX29" s="250"/>
      <c r="BY29" s="250"/>
      <c r="BZ29" s="250"/>
      <c r="CA29" s="250"/>
      <c r="CB29" s="250"/>
      <c r="CC29" s="250"/>
      <c r="CD29" s="250"/>
      <c r="CE29" s="250"/>
      <c r="CF29" s="250"/>
      <c r="CG29" s="250"/>
      <c r="CH29" s="250"/>
      <c r="CI29" s="250"/>
      <c r="CJ29" s="250"/>
      <c r="CK29" s="250"/>
      <c r="CL29" s="250"/>
      <c r="CM29" s="250"/>
      <c r="CN29" s="250"/>
      <c r="CO29" s="250"/>
      <c r="CP29" s="250"/>
      <c r="CQ29" s="250"/>
      <c r="CR29" s="250"/>
      <c r="CS29" s="250"/>
      <c r="CT29" s="250"/>
      <c r="CU29" s="250"/>
      <c r="CV29" s="250"/>
      <c r="CW29" s="250"/>
      <c r="CX29" s="250"/>
    </row>
    <row r="30" spans="1:102" s="8" customFormat="1" ht="44.25" customHeight="1">
      <c r="A30" s="252" t="s">
        <v>40</v>
      </c>
      <c r="B30" s="222" t="s">
        <v>342</v>
      </c>
      <c r="C30" s="14"/>
      <c r="D30" s="296">
        <f t="shared" si="4"/>
        <v>21603.77</v>
      </c>
      <c r="E30" s="296">
        <f>'Додаток2 скор'!E29+'Додаток3 скор'!D21+'Додаток4 скор'!D16</f>
        <v>89.46</v>
      </c>
      <c r="F30" s="296">
        <f t="shared" si="5"/>
        <v>27835.24</v>
      </c>
      <c r="G30" s="305">
        <f>'Додаток2 скор'!G29+'Додаток3 скор'!F21+'Додаток4 скор'!F16+0.01</f>
        <v>115.28</v>
      </c>
      <c r="H30" s="296">
        <f>'Додаток2 скор'!H29+'Додаток3 скор'!G21+'Додаток4 скор'!G16</f>
        <v>18366.87</v>
      </c>
      <c r="I30" s="296">
        <f>'Додаток2 скор'!I29+'Додаток3 скор'!H21+'Додаток4 скор'!H16</f>
        <v>89.46</v>
      </c>
      <c r="J30" s="320">
        <f>IF(H30=0,0,K30/H30)</f>
        <v>1.2884</v>
      </c>
      <c r="K30" s="296">
        <f>'Додаток2 скор'!K29+'Додаток3 скор'!J21+'Додаток4 скор'!J16</f>
        <v>23664.65</v>
      </c>
      <c r="L30" s="305">
        <f>'Додаток2 скор'!L29+'Додаток3 скор'!K21+'Додаток4 скор'!K16+0.01</f>
        <v>115.28</v>
      </c>
      <c r="M30" s="296">
        <f>'Додаток2 скор'!M29+'Додаток3 скор'!L21+'Додаток4 скор'!L16</f>
        <v>2437.2399999999998</v>
      </c>
      <c r="N30" s="296">
        <f>'Додаток2 скор'!N29+'Додаток3 скор'!M21+'Додаток4 скор'!M16</f>
        <v>89.46</v>
      </c>
      <c r="O30" s="320">
        <f>IF(M30=0,0,P30/M30)</f>
        <v>1.2885</v>
      </c>
      <c r="P30" s="296">
        <f>'Додаток2 скор'!P29+'Додаток3 скор'!O21+'Додаток4 скор'!O16+0.01</f>
        <v>3140.27</v>
      </c>
      <c r="Q30" s="305">
        <f>'Додаток2 скор'!Q29+'Додаток3 скор'!P21+'Додаток4 скор'!P16+0.01</f>
        <v>115.28</v>
      </c>
      <c r="R30" s="296">
        <f>'Додаток2 скор'!R29+'Додаток3 скор'!Q21+'Додаток4 скор'!Q16</f>
        <v>799.66</v>
      </c>
      <c r="S30" s="296">
        <f>'Додаток2 скор'!S29+'Додаток3 скор'!R21+'Додаток4 скор'!R16</f>
        <v>89.46</v>
      </c>
      <c r="T30" s="320">
        <f>IF(R30=0,0,U30/R30)</f>
        <v>1.2884</v>
      </c>
      <c r="U30" s="296">
        <f>'Додаток2 скор'!U29+'Додаток3 скор'!T21+'Додаток4 скор'!T16-0.01</f>
        <v>1030.32</v>
      </c>
      <c r="V30" s="305">
        <f>'Додаток2 скор'!V29+'Додаток3 скор'!U21+'Додаток4 скор'!U16+0.01</f>
        <v>115.27</v>
      </c>
      <c r="W30" s="57">
        <f t="shared" si="7"/>
        <v>115.26</v>
      </c>
    </row>
    <row r="31" spans="1:102" s="2" customFormat="1" ht="18" customHeight="1">
      <c r="A31" s="95" t="s">
        <v>343</v>
      </c>
      <c r="B31" s="479" t="s">
        <v>41</v>
      </c>
      <c r="C31" s="13" t="s">
        <v>30</v>
      </c>
      <c r="D31" s="298">
        <f t="shared" si="4"/>
        <v>15762.28</v>
      </c>
      <c r="E31" s="298">
        <f>'Додаток2 скор'!E30+'Додаток3 скор'!D22+'Додаток4 скор'!D19</f>
        <v>64.88</v>
      </c>
      <c r="F31" s="298">
        <f t="shared" si="5"/>
        <v>22815.77</v>
      </c>
      <c r="G31" s="306">
        <f>'Додаток2 скор'!G30+'Додаток3 скор'!F22+'Додаток4 скор'!F17</f>
        <v>94.48</v>
      </c>
      <c r="H31" s="298">
        <f>'Додаток2 скор'!H30+'Додаток3 скор'!G22+'Додаток4 скор'!G17</f>
        <v>13400.61</v>
      </c>
      <c r="I31" s="298">
        <f>'Додаток2 скор'!I30+'Додаток3 скор'!H22+'Додаток4 скор'!H17</f>
        <v>65.27</v>
      </c>
      <c r="J31" s="298">
        <f>'Додаток2 скор'!J30+'Додаток3 скор'!I22+'Додаток4 скор'!I17</f>
        <v>3.87</v>
      </c>
      <c r="K31" s="298">
        <f>'Додаток2 скор'!K30+'Додаток3 скор'!J22+'Додаток4 скор'!J17</f>
        <v>19397.25</v>
      </c>
      <c r="L31" s="306">
        <f>'Додаток2 скор'!L30+'Додаток3 скор'!K22+'Додаток4 скор'!K17</f>
        <v>94.48</v>
      </c>
      <c r="M31" s="298">
        <f>'Додаток2 скор'!M30+'Додаток3 скор'!L22+'Додаток4 скор'!L17</f>
        <v>1778.23</v>
      </c>
      <c r="N31" s="298">
        <f>'Додаток2 скор'!N30+'Додаток3 скор'!M22+'Додаток4 скор'!M17</f>
        <v>65.27</v>
      </c>
      <c r="O31" s="298">
        <f>'Додаток2 скор'!O30+'Додаток3 скор'!N22+'Додаток4 скор'!N17</f>
        <v>3.87</v>
      </c>
      <c r="P31" s="298">
        <f>'Додаток2 скор'!P30+'Додаток3 скор'!O22+'Додаток4 скор'!O17</f>
        <v>2573.9899999999998</v>
      </c>
      <c r="Q31" s="306">
        <f>'Додаток2 скор'!Q30+'Додаток3 скор'!P22+'Додаток4 скор'!P17</f>
        <v>94.48</v>
      </c>
      <c r="R31" s="298">
        <f>'Додаток2 скор'!R30+'Додаток3 скор'!Q22+'Додаток4 скор'!Q17</f>
        <v>583.44000000000005</v>
      </c>
      <c r="S31" s="298">
        <f>'Додаток2 скор'!S30+'Додаток3 скор'!R22+'Додаток4 скор'!R17</f>
        <v>65.27</v>
      </c>
      <c r="T31" s="298">
        <f>'Додаток2 скор'!T30+'Додаток3 скор'!S22+'Додаток4 скор'!S17</f>
        <v>3.87</v>
      </c>
      <c r="U31" s="298">
        <f>'Додаток2 скор'!U30+'Додаток3 скор'!T22+'Додаток4 скор'!T17</f>
        <v>844.53</v>
      </c>
      <c r="V31" s="306">
        <f>'Додаток2 скор'!V30+'Додаток3 скор'!U22+'Додаток4 скор'!U17</f>
        <v>94.47</v>
      </c>
      <c r="W31" s="230">
        <f t="shared" si="7"/>
        <v>94.48</v>
      </c>
    </row>
    <row r="32" spans="1:102" s="231" customFormat="1" ht="18" customHeight="1">
      <c r="A32" s="95" t="s">
        <v>344</v>
      </c>
      <c r="B32" s="479" t="s">
        <v>45</v>
      </c>
      <c r="C32" s="13" t="s">
        <v>30</v>
      </c>
      <c r="D32" s="298">
        <f t="shared" si="4"/>
        <v>5841.49</v>
      </c>
      <c r="E32" s="298">
        <f>'Додаток2 скор'!E31+'Додаток3 скор'!D23+'Додаток4 скор'!D20</f>
        <v>23.87</v>
      </c>
      <c r="F32" s="298">
        <f t="shared" si="5"/>
        <v>5019.47</v>
      </c>
      <c r="G32" s="306">
        <f>'Додаток2 скор'!G31+'Додаток3 скор'!F23+'Додаток4 скор'!F18</f>
        <v>20.79</v>
      </c>
      <c r="H32" s="298">
        <f>'Додаток2 скор'!H31+'Додаток3 скор'!G23+'Додаток4 скор'!G18</f>
        <v>4966.26</v>
      </c>
      <c r="I32" s="298">
        <f>'Додаток2 скор'!I31+'Додаток3 скор'!H23+'Додаток4 скор'!H18</f>
        <v>24.19</v>
      </c>
      <c r="J32" s="298">
        <f>'Додаток2 скор'!J31+'Додаток3 скор'!I23+'Додаток4 скор'!I18</f>
        <v>3.87</v>
      </c>
      <c r="K32" s="298">
        <f>'Додаток2 скор'!K31+'Додаток3 скор'!J23+'Додаток4 скор'!J18</f>
        <v>4267.3999999999996</v>
      </c>
      <c r="L32" s="306">
        <f>'Додаток2 скор'!L31+'Додаток3 скор'!K23+'Додаток4 скор'!K18</f>
        <v>20.79</v>
      </c>
      <c r="M32" s="298">
        <f>'Додаток2 скор'!M31+'Додаток3 скор'!L23+'Додаток4 скор'!L18</f>
        <v>659.01</v>
      </c>
      <c r="N32" s="298">
        <f>'Додаток2 скор'!N31+'Додаток3 скор'!M23+'Додаток4 скор'!M18</f>
        <v>24.19</v>
      </c>
      <c r="O32" s="298">
        <f>'Додаток2 скор'!O31+'Додаток3 скор'!N23+'Додаток4 скор'!N18</f>
        <v>3.87</v>
      </c>
      <c r="P32" s="298">
        <f>'Додаток2 скор'!P31+'Додаток3 скор'!O23+'Додаток4 скор'!O18</f>
        <v>566.27</v>
      </c>
      <c r="Q32" s="306">
        <f>'Додаток2 скор'!Q31+'Додаток3 скор'!P23+'Додаток4 скор'!P18</f>
        <v>20.79</v>
      </c>
      <c r="R32" s="298">
        <f>'Додаток2 скор'!R31+'Додаток3 скор'!Q23+'Додаток4 скор'!Q18</f>
        <v>216.22</v>
      </c>
      <c r="S32" s="298">
        <f>'Додаток2 скор'!S31+'Додаток3 скор'!R23+'Додаток4 скор'!R18</f>
        <v>24.19</v>
      </c>
      <c r="T32" s="298">
        <f>'Додаток2 скор'!T31+'Додаток3 скор'!S23+'Додаток4 скор'!S18</f>
        <v>3.87</v>
      </c>
      <c r="U32" s="298">
        <f>'Додаток2 скор'!U31+'Додаток3 скор'!T23+'Додаток4 скор'!T18</f>
        <v>185.8</v>
      </c>
      <c r="V32" s="306">
        <f>'Додаток2 скор'!V31+'Додаток3 скор'!U23+'Додаток4 скор'!U18</f>
        <v>20.79</v>
      </c>
      <c r="W32" s="230">
        <f t="shared" si="7"/>
        <v>20.79</v>
      </c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0"/>
      <c r="AV32" s="250"/>
      <c r="AW32" s="250"/>
      <c r="AX32" s="250"/>
      <c r="AY32" s="250"/>
      <c r="AZ32" s="250"/>
      <c r="BA32" s="250"/>
      <c r="BB32" s="250"/>
      <c r="BC32" s="250"/>
      <c r="BD32" s="250"/>
      <c r="BE32" s="250"/>
      <c r="BF32" s="250"/>
      <c r="BG32" s="250"/>
      <c r="BH32" s="250"/>
      <c r="BI32" s="250"/>
      <c r="BJ32" s="250"/>
      <c r="BK32" s="250"/>
      <c r="BL32" s="250"/>
      <c r="BM32" s="250"/>
      <c r="BN32" s="250"/>
      <c r="BO32" s="250"/>
      <c r="BP32" s="250"/>
      <c r="BQ32" s="250"/>
      <c r="BR32" s="250"/>
      <c r="BS32" s="250"/>
      <c r="BT32" s="250"/>
      <c r="BU32" s="250"/>
      <c r="BV32" s="250"/>
      <c r="BW32" s="250"/>
      <c r="BX32" s="250"/>
      <c r="BY32" s="250"/>
      <c r="BZ32" s="250"/>
      <c r="CA32" s="250"/>
      <c r="CB32" s="250"/>
      <c r="CC32" s="250"/>
      <c r="CD32" s="250"/>
      <c r="CE32" s="250"/>
      <c r="CF32" s="250"/>
      <c r="CG32" s="250"/>
      <c r="CH32" s="250"/>
      <c r="CI32" s="250"/>
      <c r="CJ32" s="250"/>
      <c r="CK32" s="250"/>
      <c r="CL32" s="250"/>
      <c r="CM32" s="250"/>
      <c r="CN32" s="250"/>
      <c r="CO32" s="250"/>
      <c r="CP32" s="250"/>
      <c r="CQ32" s="250"/>
      <c r="CR32" s="250"/>
      <c r="CS32" s="250"/>
      <c r="CT32" s="250"/>
      <c r="CU32" s="250"/>
      <c r="CV32" s="250"/>
      <c r="CW32" s="250"/>
      <c r="CX32" s="250"/>
    </row>
    <row r="33" spans="1:102" s="231" customFormat="1" ht="18" customHeight="1">
      <c r="A33" s="252" t="s">
        <v>42</v>
      </c>
      <c r="B33" s="222" t="s">
        <v>43</v>
      </c>
      <c r="C33" s="14"/>
      <c r="D33" s="296">
        <f t="shared" si="4"/>
        <v>2075.73</v>
      </c>
      <c r="E33" s="296">
        <f>'Додаток2 скор'!E32+'Додаток3 скор'!D24+'Додаток4 скор'!D20</f>
        <v>8.1199999999999992</v>
      </c>
      <c r="F33" s="296">
        <f t="shared" si="5"/>
        <v>2075.73</v>
      </c>
      <c r="G33" s="305">
        <f>'Додаток2 скор'!G32+'Додаток3 скор'!F24+'Додаток4 скор'!F19</f>
        <v>8.6</v>
      </c>
      <c r="H33" s="298">
        <f>'Додаток2 скор'!H32+'Додаток3 скор'!G24+'Додаток4 скор'!G19</f>
        <v>1764.72</v>
      </c>
      <c r="I33" s="298">
        <f>'Додаток2 скор'!I32+'Додаток3 скор'!H24+'Додаток4 скор'!H19</f>
        <v>8.6</v>
      </c>
      <c r="J33" s="298">
        <f>'Додаток2 скор'!J32+'Додаток3 скор'!I24+'Додаток4 скор'!I19</f>
        <v>3</v>
      </c>
      <c r="K33" s="298">
        <f>'Додаток2 скор'!K32+'Додаток3 скор'!J24+'Додаток4 скор'!J19</f>
        <v>1764.72</v>
      </c>
      <c r="L33" s="306">
        <f>'Додаток2 скор'!L32+'Додаток3 скор'!K24+'Додаток4 скор'!K19</f>
        <v>8.6</v>
      </c>
      <c r="M33" s="298">
        <f>'Додаток2 скор'!M32+'Додаток3 скор'!L24+'Додаток4 скор'!L19</f>
        <v>234.17</v>
      </c>
      <c r="N33" s="298">
        <f>'Додаток2 скор'!N32+'Додаток3 скор'!M24+'Додаток4 скор'!M19</f>
        <v>8.6</v>
      </c>
      <c r="O33" s="298">
        <f>'Додаток2 скор'!O32+'Додаток3 скор'!N24+'Додаток4 скор'!N19</f>
        <v>3</v>
      </c>
      <c r="P33" s="298">
        <f>'Додаток2 скор'!P32+'Додаток3 скор'!O24+'Додаток4 скор'!O19</f>
        <v>234.17</v>
      </c>
      <c r="Q33" s="306">
        <f>'Додаток2 скор'!Q32+'Додаток3 скор'!P24+'Додаток4 скор'!P19</f>
        <v>8.6</v>
      </c>
      <c r="R33" s="298">
        <f>'Додаток2 скор'!R32+'Додаток3 скор'!Q24+'Додаток4 скор'!Q19</f>
        <v>76.84</v>
      </c>
      <c r="S33" s="298">
        <f>'Додаток2 скор'!S32+'Додаток3 скор'!R24+'Додаток4 скор'!R19</f>
        <v>8.6</v>
      </c>
      <c r="T33" s="298">
        <f>'Додаток2 скор'!T32+'Додаток3 скор'!S24+'Додаток4 скор'!S19</f>
        <v>3</v>
      </c>
      <c r="U33" s="298">
        <f>'Додаток2 скор'!U32+'Додаток3 скор'!T24+'Додаток4 скор'!T19</f>
        <v>76.84</v>
      </c>
      <c r="V33" s="306">
        <f>'Додаток2 скор'!V32+'Додаток3 скор'!U24+'Додаток4 скор'!U19</f>
        <v>8.6</v>
      </c>
      <c r="W33" s="57">
        <f t="shared" si="7"/>
        <v>8.6</v>
      </c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  <c r="AR33" s="250"/>
      <c r="AS33" s="250"/>
      <c r="AT33" s="250"/>
      <c r="AU33" s="250"/>
      <c r="AV33" s="250"/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0"/>
      <c r="BH33" s="250"/>
      <c r="BI33" s="250"/>
      <c r="BJ33" s="250"/>
      <c r="BK33" s="250"/>
      <c r="BL33" s="250"/>
      <c r="BM33" s="250"/>
      <c r="BN33" s="250"/>
      <c r="BO33" s="250"/>
      <c r="BP33" s="250"/>
      <c r="BQ33" s="250"/>
      <c r="BR33" s="250"/>
      <c r="BS33" s="250"/>
      <c r="BT33" s="250"/>
      <c r="BU33" s="250"/>
      <c r="BV33" s="250"/>
      <c r="BW33" s="250"/>
      <c r="BX33" s="250"/>
      <c r="BY33" s="250"/>
      <c r="BZ33" s="250"/>
      <c r="CA33" s="250"/>
      <c r="CB33" s="250"/>
      <c r="CC33" s="250"/>
      <c r="CD33" s="250"/>
      <c r="CE33" s="250"/>
      <c r="CF33" s="250"/>
      <c r="CG33" s="250"/>
      <c r="CH33" s="250"/>
      <c r="CI33" s="250"/>
      <c r="CJ33" s="250"/>
      <c r="CK33" s="250"/>
      <c r="CL33" s="250"/>
      <c r="CM33" s="250"/>
      <c r="CN33" s="250"/>
      <c r="CO33" s="250"/>
      <c r="CP33" s="250"/>
      <c r="CQ33" s="250"/>
      <c r="CR33" s="250"/>
      <c r="CS33" s="250"/>
      <c r="CT33" s="250"/>
      <c r="CU33" s="250"/>
      <c r="CV33" s="250"/>
      <c r="CW33" s="250"/>
      <c r="CX33" s="250"/>
    </row>
    <row r="34" spans="1:102" s="231" customFormat="1" ht="18" customHeight="1">
      <c r="A34" s="95" t="s">
        <v>46</v>
      </c>
      <c r="B34" s="223" t="s">
        <v>47</v>
      </c>
      <c r="C34" s="13" t="s">
        <v>30</v>
      </c>
      <c r="D34" s="298">
        <f t="shared" si="4"/>
        <v>1480.75</v>
      </c>
      <c r="E34" s="298">
        <f>'Додаток2 скор'!E33+'Додаток3 скор'!D25+'Додаток4 скор'!D21</f>
        <v>6.61</v>
      </c>
      <c r="F34" s="298">
        <f t="shared" si="5"/>
        <v>1480.75</v>
      </c>
      <c r="G34" s="306">
        <f>'Додаток2 скор'!G33+'Додаток3 скор'!F25+'Додаток4 скор'!F20</f>
        <v>6.13</v>
      </c>
      <c r="H34" s="298">
        <f>'Додаток2 скор'!H33+'Додаток3 скор'!G25+'Додаток4 скор'!G20</f>
        <v>1258.8900000000001</v>
      </c>
      <c r="I34" s="298">
        <f>'Додаток2 скор'!I33+'Додаток3 скор'!H25+'Додаток4 скор'!H20</f>
        <v>6.13</v>
      </c>
      <c r="J34" s="298">
        <f>'Додаток2 скор'!J33+'Додаток3 скор'!I25+'Додаток4 скор'!I20</f>
        <v>3</v>
      </c>
      <c r="K34" s="298">
        <f>'Додаток2 скор'!K33+'Додаток3 скор'!J25+'Додаток4 скор'!J20</f>
        <v>1258.8900000000001</v>
      </c>
      <c r="L34" s="306">
        <f>'Додаток2 скор'!L33+'Додаток3 скор'!K25+'Додаток4 скор'!K20</f>
        <v>6.13</v>
      </c>
      <c r="M34" s="298">
        <f>'Додаток2 скор'!M33+'Додаток3 скор'!L25+'Додаток4 скор'!L20</f>
        <v>167.05</v>
      </c>
      <c r="N34" s="298">
        <f>'Додаток2 скор'!N33+'Додаток3 скор'!M25+'Додаток4 скор'!M20</f>
        <v>6.13</v>
      </c>
      <c r="O34" s="298">
        <f>'Додаток2 скор'!O33+'Додаток3 скор'!N25+'Додаток4 скор'!N20</f>
        <v>3</v>
      </c>
      <c r="P34" s="298">
        <f>'Додаток2 скор'!P33+'Додаток3 скор'!O25+'Додаток4 скор'!O20</f>
        <v>167.05</v>
      </c>
      <c r="Q34" s="306">
        <f>'Додаток2 скор'!Q33+'Додаток3 скор'!P25+'Додаток4 скор'!P20</f>
        <v>6.13</v>
      </c>
      <c r="R34" s="298">
        <f>'Додаток2 скор'!R33+'Додаток3 скор'!Q25+'Додаток4 скор'!Q20</f>
        <v>54.81</v>
      </c>
      <c r="S34" s="298">
        <f>'Додаток2 скор'!S33+'Додаток3 скор'!R25+'Додаток4 скор'!R20</f>
        <v>6.13</v>
      </c>
      <c r="T34" s="298">
        <f>'Додаток2 скор'!T33+'Додаток3 скор'!S25+'Додаток4 скор'!S20</f>
        <v>3</v>
      </c>
      <c r="U34" s="298">
        <f>'Додаток2 скор'!U33+'Додаток3 скор'!T25+'Додаток4 скор'!T20</f>
        <v>54.81</v>
      </c>
      <c r="V34" s="306">
        <f>'Додаток2 скор'!V33+'Додаток3 скор'!U25+'Додаток4 скор'!U20</f>
        <v>6.13</v>
      </c>
      <c r="W34" s="57">
        <f t="shared" si="7"/>
        <v>6.13</v>
      </c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0"/>
      <c r="CA34" s="250"/>
      <c r="CB34" s="250"/>
      <c r="CC34" s="250"/>
      <c r="CD34" s="250"/>
      <c r="CE34" s="250"/>
      <c r="CF34" s="250"/>
      <c r="CG34" s="250"/>
      <c r="CH34" s="250"/>
      <c r="CI34" s="250"/>
      <c r="CJ34" s="250"/>
      <c r="CK34" s="250"/>
      <c r="CL34" s="250"/>
      <c r="CM34" s="250"/>
      <c r="CN34" s="250"/>
      <c r="CO34" s="250"/>
      <c r="CP34" s="250"/>
      <c r="CQ34" s="250"/>
      <c r="CR34" s="250"/>
      <c r="CS34" s="250"/>
      <c r="CT34" s="250"/>
      <c r="CU34" s="250"/>
      <c r="CV34" s="250"/>
      <c r="CW34" s="250"/>
      <c r="CX34" s="250"/>
    </row>
    <row r="35" spans="1:102" s="8" customFormat="1" ht="18" customHeight="1">
      <c r="A35" s="95" t="s">
        <v>48</v>
      </c>
      <c r="B35" s="223" t="s">
        <v>49</v>
      </c>
      <c r="C35" s="13" t="s">
        <v>30</v>
      </c>
      <c r="D35" s="298">
        <f t="shared" si="4"/>
        <v>594.98</v>
      </c>
      <c r="E35" s="298">
        <f>'Додаток2 скор'!E34+'Додаток3 скор'!D26+'Додаток4 скор'!D22</f>
        <v>1.98</v>
      </c>
      <c r="F35" s="298">
        <f t="shared" si="5"/>
        <v>594.98</v>
      </c>
      <c r="G35" s="306">
        <f>'Додаток2 скор'!G34+'Додаток3 скор'!F26+'Додаток4 скор'!F21</f>
        <v>2.46</v>
      </c>
      <c r="H35" s="298">
        <f>'Додаток2 скор'!H34+'Додаток3 скор'!G26+'Додаток4 скор'!G21</f>
        <v>505.83</v>
      </c>
      <c r="I35" s="298">
        <f>'Додаток2 скор'!I34+'Додаток3 скор'!H26+'Додаток4 скор'!H21</f>
        <v>2.46</v>
      </c>
      <c r="J35" s="298">
        <f>'Додаток2 скор'!J34+'Додаток3 скор'!I26+'Додаток4 скор'!I21</f>
        <v>3</v>
      </c>
      <c r="K35" s="298">
        <f>'Додаток2 скор'!K34+'Додаток3 скор'!J26+'Додаток4 скор'!J21</f>
        <v>505.83</v>
      </c>
      <c r="L35" s="306">
        <f>'Додаток2 скор'!L34+'Додаток3 скор'!K26+'Додаток4 скор'!K21</f>
        <v>2.46</v>
      </c>
      <c r="M35" s="298">
        <f>'Додаток2 скор'!M34+'Додаток3 скор'!L26+'Додаток4 скор'!L21</f>
        <v>67.12</v>
      </c>
      <c r="N35" s="298">
        <f>'Додаток2 скор'!N34+'Додаток3 скор'!M26+'Додаток4 скор'!M21</f>
        <v>2.46</v>
      </c>
      <c r="O35" s="298">
        <f>'Додаток2 скор'!O34+'Додаток3 скор'!N26+'Додаток4 скор'!N21</f>
        <v>3</v>
      </c>
      <c r="P35" s="298">
        <f>'Додаток2 скор'!P34+'Додаток3 скор'!O26+'Додаток4 скор'!O21</f>
        <v>67.12</v>
      </c>
      <c r="Q35" s="306">
        <f>'Додаток2 скор'!Q34+'Додаток3 скор'!P26+'Додаток4 скор'!P21</f>
        <v>2.46</v>
      </c>
      <c r="R35" s="298">
        <f>'Додаток2 скор'!R34+'Додаток3 скор'!Q26+'Додаток4 скор'!Q21</f>
        <v>22.03</v>
      </c>
      <c r="S35" s="298">
        <f>'Додаток2 скор'!S34+'Додаток3 скор'!R26+'Додаток4 скор'!R21</f>
        <v>2.46</v>
      </c>
      <c r="T35" s="298">
        <f>'Додаток2 скор'!T34+'Додаток3 скор'!S26+'Додаток4 скор'!S21</f>
        <v>3</v>
      </c>
      <c r="U35" s="298">
        <f>'Додаток2 скор'!U34+'Додаток3 скор'!T26+'Додаток4 скор'!T21</f>
        <v>22.03</v>
      </c>
      <c r="V35" s="306">
        <f>'Додаток2 скор'!V34+'Додаток3 скор'!U26+'Додаток4 скор'!U21</f>
        <v>2.46</v>
      </c>
      <c r="W35" s="57">
        <f t="shared" si="7"/>
        <v>2.46</v>
      </c>
    </row>
    <row r="36" spans="1:102" s="6" customFormat="1" ht="18" customHeight="1">
      <c r="A36" s="534" t="s">
        <v>50</v>
      </c>
      <c r="B36" s="314" t="s">
        <v>51</v>
      </c>
      <c r="C36" s="315" t="s">
        <v>30</v>
      </c>
      <c r="D36" s="305">
        <f t="shared" si="4"/>
        <v>256.04000000000002</v>
      </c>
      <c r="E36" s="305">
        <f>'Додаток2 скор'!E35+'Додаток3 скор'!D27+'Додаток4 скор'!D22</f>
        <v>1.05</v>
      </c>
      <c r="F36" s="305">
        <f t="shared" si="5"/>
        <v>321.16000000000003</v>
      </c>
      <c r="G36" s="305">
        <f>'Додаток2 скор'!G35+'Додаток3 скор'!F27+'Додаток4 скор'!F22+0.01</f>
        <v>1.35</v>
      </c>
      <c r="H36" s="305">
        <f>'Додаток2 скор'!H35+'Додаток3 скор'!G27+'Додаток4 скор'!G22</f>
        <v>217.68</v>
      </c>
      <c r="I36" s="305">
        <f>'Додаток2 скор'!I35+'Додаток3 скор'!H27+'Додаток4 скор'!H22</f>
        <v>1.05</v>
      </c>
      <c r="J36" s="305">
        <f>'Додаток2 скор'!J35+'Додаток3 скор'!I27+'Додаток4 скор'!I22</f>
        <v>3.76</v>
      </c>
      <c r="K36" s="305">
        <f>'Додаток2 скор'!K35+'Додаток3 скор'!J27+'Додаток4 скор'!J22</f>
        <v>273.04000000000002</v>
      </c>
      <c r="L36" s="305">
        <f>'Додаток2 скор'!L35+'Додаток3 скор'!K27+'Додаток4 скор'!K22+0.01</f>
        <v>1.35</v>
      </c>
      <c r="M36" s="305">
        <f>'Додаток2 скор'!M35+'Додаток3 скор'!L27+'Додаток4 скор'!L22</f>
        <v>28.88</v>
      </c>
      <c r="N36" s="305">
        <f>'Додаток2 скор'!N35+'Додаток3 скор'!M27+'Додаток4 скор'!M22</f>
        <v>1.05</v>
      </c>
      <c r="O36" s="305">
        <f>'Додаток2 скор'!O35+'Додаток3 скор'!N27+'Додаток4 скор'!N22</f>
        <v>3.68</v>
      </c>
      <c r="P36" s="305">
        <f>'Додаток2 скор'!P35+'Додаток3 скор'!O27+'Додаток4 скор'!O22</f>
        <v>36.229999999999997</v>
      </c>
      <c r="Q36" s="305">
        <f>'Додаток2 скор'!Q35+'Додаток3 скор'!P27+'Додаток4 скор'!P22+0.01</f>
        <v>1.35</v>
      </c>
      <c r="R36" s="305">
        <f>'Додаток2 скор'!R35+'Додаток3 скор'!Q27+'Додаток4 скор'!Q22</f>
        <v>9.48</v>
      </c>
      <c r="S36" s="305">
        <f>'Додаток2 скор'!S35+'Додаток3 скор'!R27+'Додаток4 скор'!R22</f>
        <v>1.05</v>
      </c>
      <c r="T36" s="305">
        <f>'Додаток2 скор'!T35+'Додаток3 скор'!S27+'Додаток4 скор'!S22</f>
        <v>3.76</v>
      </c>
      <c r="U36" s="305">
        <f>'Додаток2 скор'!U35+'Додаток3 скор'!T27+'Додаток4 скор'!T22</f>
        <v>11.89</v>
      </c>
      <c r="V36" s="305">
        <f>'Додаток2 скор'!V35+'Додаток3 скор'!U27+'Додаток4 скор'!U22+0.01</f>
        <v>1.35</v>
      </c>
      <c r="W36" s="57">
        <f t="shared" si="7"/>
        <v>1.33</v>
      </c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</row>
    <row r="37" spans="1:102" s="231" customFormat="1" ht="18" customHeight="1">
      <c r="A37" s="95" t="s">
        <v>52</v>
      </c>
      <c r="B37" s="223" t="s">
        <v>345</v>
      </c>
      <c r="C37" s="14"/>
      <c r="D37" s="298">
        <f t="shared" si="4"/>
        <v>225.78</v>
      </c>
      <c r="E37" s="298">
        <f>'Додаток2 скор'!E36+'Додаток3 скор'!D28+'Додаток4 скор'!D25</f>
        <v>0.93</v>
      </c>
      <c r="F37" s="298">
        <f t="shared" si="5"/>
        <v>290.89999999999998</v>
      </c>
      <c r="G37" s="306">
        <f>'Додаток2 скор'!G36+'Додаток3 скор'!F28+'Додаток4 скор'!F25</f>
        <v>1.2</v>
      </c>
      <c r="H37" s="298">
        <f>'Додаток2 скор'!H36+'Додаток3 скор'!G28+'Додаток4 скор'!G23</f>
        <v>191.95</v>
      </c>
      <c r="I37" s="298">
        <f>'Додаток2 скор'!I36+'Додаток3 скор'!H28+'Додаток4 скор'!H23</f>
        <v>0.93</v>
      </c>
      <c r="J37" s="298">
        <f>'Додаток2 скор'!J36+'Додаток3 скор'!I28+'Додаток4 скор'!I23</f>
        <v>3.87</v>
      </c>
      <c r="K37" s="298">
        <f>'Додаток2 скор'!K36+'Додаток3 скор'!J28+'Додаток4 скор'!J23</f>
        <v>247.31</v>
      </c>
      <c r="L37" s="306">
        <f>'Додаток2 скор'!L36+'Додаток3 скор'!K28+'Додаток4 скор'!K23+0.01</f>
        <v>1.22</v>
      </c>
      <c r="M37" s="298">
        <f>'Додаток2 скор'!M36+'Додаток3 скор'!L28+'Додаток4 скор'!L23</f>
        <v>25.47</v>
      </c>
      <c r="N37" s="298">
        <f>'Додаток2 скор'!N36+'Додаток3 скор'!M28+'Додаток4 скор'!M23</f>
        <v>0.93</v>
      </c>
      <c r="O37" s="298">
        <f>'Додаток2 скор'!O36+'Додаток3 скор'!N28+'Додаток4 скор'!N23</f>
        <v>3.87</v>
      </c>
      <c r="P37" s="298">
        <f>'Додаток2 скор'!P36+'Додаток3 скор'!O28+'Додаток4 скор'!O23</f>
        <v>32.82</v>
      </c>
      <c r="Q37" s="306">
        <f>'Додаток2 скор'!Q36+'Додаток3 скор'!P28+'Додаток4 скор'!P23+0.01</f>
        <v>1.21</v>
      </c>
      <c r="R37" s="298">
        <f>'Додаток2 скор'!R36+'Додаток3 скор'!Q28+'Додаток4 скор'!Q23</f>
        <v>8.36</v>
      </c>
      <c r="S37" s="298">
        <f>'Додаток2 скор'!S36+'Додаток3 скор'!R28+'Додаток4 скор'!R23</f>
        <v>0.93</v>
      </c>
      <c r="T37" s="298">
        <f>'Додаток2 скор'!T36+'Додаток3 скор'!S28+'Додаток4 скор'!S23</f>
        <v>3.87</v>
      </c>
      <c r="U37" s="298">
        <f>'Додаток2 скор'!U36+'Додаток3 скор'!T28+'Додаток4 скор'!T23</f>
        <v>10.77</v>
      </c>
      <c r="V37" s="306">
        <f>'Додаток2 скор'!V36+'Додаток3 скор'!U28+'Додаток4 скор'!U23+0.01</f>
        <v>1.22</v>
      </c>
      <c r="W37" s="57"/>
      <c r="X37" s="250"/>
      <c r="Y37" s="250"/>
      <c r="Z37" s="250"/>
      <c r="AA37" s="250"/>
      <c r="AB37" s="250"/>
      <c r="AC37" s="250"/>
      <c r="AD37" s="250"/>
      <c r="AE37" s="250"/>
      <c r="AF37" s="250"/>
      <c r="AG37" s="250"/>
      <c r="AH37" s="250"/>
      <c r="AI37" s="250"/>
      <c r="AJ37" s="250"/>
      <c r="AK37" s="250"/>
      <c r="AL37" s="250"/>
      <c r="AM37" s="250"/>
      <c r="AN37" s="250"/>
      <c r="AO37" s="250"/>
      <c r="AP37" s="250"/>
      <c r="AQ37" s="250"/>
      <c r="AR37" s="250"/>
      <c r="AS37" s="250"/>
      <c r="AT37" s="250"/>
      <c r="AU37" s="250"/>
      <c r="AV37" s="250"/>
      <c r="AW37" s="250"/>
      <c r="AX37" s="250"/>
      <c r="AY37" s="250"/>
      <c r="AZ37" s="250"/>
      <c r="BA37" s="250"/>
      <c r="BB37" s="250"/>
      <c r="BC37" s="250"/>
      <c r="BD37" s="250"/>
      <c r="BE37" s="250"/>
      <c r="BF37" s="250"/>
      <c r="BG37" s="250"/>
      <c r="BH37" s="250"/>
      <c r="BI37" s="250"/>
      <c r="BJ37" s="250"/>
      <c r="BK37" s="250"/>
      <c r="BL37" s="250"/>
      <c r="BM37" s="250"/>
      <c r="BN37" s="250"/>
      <c r="BO37" s="250"/>
      <c r="BP37" s="250"/>
      <c r="BQ37" s="250"/>
      <c r="BR37" s="250"/>
      <c r="BS37" s="250"/>
      <c r="BT37" s="250"/>
      <c r="BU37" s="250"/>
      <c r="BV37" s="250"/>
      <c r="BW37" s="250"/>
      <c r="BX37" s="250"/>
      <c r="BY37" s="250"/>
      <c r="BZ37" s="250"/>
      <c r="CA37" s="250"/>
      <c r="CB37" s="250"/>
      <c r="CC37" s="250"/>
      <c r="CD37" s="250"/>
      <c r="CE37" s="250"/>
      <c r="CF37" s="250"/>
      <c r="CG37" s="250"/>
      <c r="CH37" s="250"/>
      <c r="CI37" s="250"/>
      <c r="CJ37" s="250"/>
      <c r="CK37" s="250"/>
      <c r="CL37" s="250"/>
      <c r="CM37" s="250"/>
      <c r="CN37" s="250"/>
      <c r="CO37" s="250"/>
      <c r="CP37" s="250"/>
      <c r="CQ37" s="250"/>
      <c r="CR37" s="250"/>
      <c r="CS37" s="250"/>
      <c r="CT37" s="250"/>
      <c r="CU37" s="250"/>
      <c r="CV37" s="250"/>
      <c r="CW37" s="250"/>
      <c r="CX37" s="250"/>
    </row>
    <row r="38" spans="1:102" s="231" customFormat="1" ht="18" customHeight="1">
      <c r="A38" s="95" t="s">
        <v>346</v>
      </c>
      <c r="B38" s="479" t="s">
        <v>53</v>
      </c>
      <c r="C38" s="13" t="s">
        <v>30</v>
      </c>
      <c r="D38" s="298">
        <f t="shared" si="4"/>
        <v>164.72</v>
      </c>
      <c r="E38" s="298">
        <f>'Додаток2 скор'!E37+'Додаток3 скор'!D29+'Додаток4 скор'!D26</f>
        <v>0.68</v>
      </c>
      <c r="F38" s="298">
        <f t="shared" si="5"/>
        <v>238.44</v>
      </c>
      <c r="G38" s="306">
        <f>'Додаток2 скор'!G37+'Додаток3 скор'!F29+'Додаток4 скор'!F26</f>
        <v>0.99</v>
      </c>
      <c r="H38" s="298">
        <f>'Додаток2 скор'!H37+'Додаток3 скор'!G29+'Додаток4 скор'!G24</f>
        <v>140.04</v>
      </c>
      <c r="I38" s="298">
        <f>'Додаток2 скор'!I37+'Додаток3 скор'!H29+'Додаток4 скор'!H24</f>
        <v>0.68</v>
      </c>
      <c r="J38" s="298">
        <f>'Додаток2 скор'!J37+'Додаток3 скор'!I29+'Додаток4 скор'!I24</f>
        <v>3.87</v>
      </c>
      <c r="K38" s="298">
        <f>'Додаток2 скор'!K37+'Додаток3 скор'!J29+'Додаток4 скор'!J24</f>
        <v>202.71</v>
      </c>
      <c r="L38" s="306">
        <f>'Додаток2 скор'!L37+'Додаток3 скор'!K29+'Додаток4 скор'!K24</f>
        <v>0.99</v>
      </c>
      <c r="M38" s="298">
        <f>'Додаток2 скор'!M37+'Додаток3 скор'!L29+'Додаток4 скор'!L24</f>
        <v>18.579999999999998</v>
      </c>
      <c r="N38" s="298">
        <f>'Додаток2 скор'!N37+'Додаток3 скор'!M29+'Додаток4 скор'!M24</f>
        <v>0.68</v>
      </c>
      <c r="O38" s="298">
        <f>'Додаток2 скор'!O37+'Додаток3 скор'!N29+'Додаток4 скор'!N24</f>
        <v>3.87</v>
      </c>
      <c r="P38" s="298">
        <f>'Додаток2 скор'!P37+'Додаток3 скор'!O29+'Додаток4 скор'!O24</f>
        <v>26.9</v>
      </c>
      <c r="Q38" s="306">
        <f>'Додаток2 скор'!Q37+'Додаток3 скор'!P29+'Додаток4 скор'!P24</f>
        <v>0.99</v>
      </c>
      <c r="R38" s="298">
        <f>'Додаток2 скор'!R37+'Додаток3 скор'!Q29+'Додаток4 скор'!Q24</f>
        <v>6.1</v>
      </c>
      <c r="S38" s="298">
        <f>'Додаток2 скор'!S37+'Додаток3 скор'!R29+'Додаток4 скор'!R24</f>
        <v>0.68</v>
      </c>
      <c r="T38" s="298">
        <f>'Додаток2 скор'!T37+'Додаток3 скор'!S29+'Додаток4 скор'!S24</f>
        <v>3.87</v>
      </c>
      <c r="U38" s="298">
        <f>'Додаток2 скор'!U37+'Додаток3 скор'!T29+'Додаток4 скор'!T24</f>
        <v>8.83</v>
      </c>
      <c r="V38" s="306">
        <f>'Додаток2 скор'!V37+'Додаток3 скор'!U29+'Додаток4 скор'!U24</f>
        <v>0.99</v>
      </c>
      <c r="W38" s="57">
        <f>U38/$U$59*1000</f>
        <v>0.99</v>
      </c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  <c r="AP38" s="250"/>
      <c r="AQ38" s="250"/>
      <c r="AR38" s="250"/>
      <c r="AS38" s="250"/>
      <c r="AT38" s="250"/>
      <c r="AU38" s="250"/>
      <c r="AV38" s="250"/>
      <c r="AW38" s="250"/>
      <c r="AX38" s="250"/>
      <c r="AY38" s="250"/>
      <c r="AZ38" s="250"/>
      <c r="BA38" s="250"/>
      <c r="BB38" s="250"/>
      <c r="BC38" s="250"/>
      <c r="BD38" s="250"/>
      <c r="BE38" s="250"/>
      <c r="BF38" s="250"/>
      <c r="BG38" s="250"/>
      <c r="BH38" s="250"/>
      <c r="BI38" s="250"/>
      <c r="BJ38" s="250"/>
      <c r="BK38" s="250"/>
      <c r="BL38" s="250"/>
      <c r="BM38" s="250"/>
      <c r="BN38" s="250"/>
      <c r="BO38" s="250"/>
      <c r="BP38" s="250"/>
      <c r="BQ38" s="250"/>
      <c r="BR38" s="250"/>
      <c r="BS38" s="250"/>
      <c r="BT38" s="250"/>
      <c r="BU38" s="250"/>
      <c r="BV38" s="250"/>
      <c r="BW38" s="250"/>
      <c r="BX38" s="250"/>
      <c r="BY38" s="250"/>
      <c r="BZ38" s="250"/>
      <c r="CA38" s="250"/>
      <c r="CB38" s="250"/>
      <c r="CC38" s="250"/>
      <c r="CD38" s="250"/>
      <c r="CE38" s="250"/>
      <c r="CF38" s="250"/>
      <c r="CG38" s="250"/>
      <c r="CH38" s="250"/>
      <c r="CI38" s="250"/>
      <c r="CJ38" s="250"/>
      <c r="CK38" s="250"/>
      <c r="CL38" s="250"/>
      <c r="CM38" s="250"/>
      <c r="CN38" s="250"/>
      <c r="CO38" s="250"/>
      <c r="CP38" s="250"/>
      <c r="CQ38" s="250"/>
      <c r="CR38" s="250"/>
      <c r="CS38" s="250"/>
      <c r="CT38" s="250"/>
      <c r="CU38" s="250"/>
      <c r="CV38" s="250"/>
      <c r="CW38" s="250"/>
      <c r="CX38" s="250"/>
    </row>
    <row r="39" spans="1:102" s="231" customFormat="1" ht="18" customHeight="1">
      <c r="A39" s="95" t="s">
        <v>347</v>
      </c>
      <c r="B39" s="479" t="s">
        <v>45</v>
      </c>
      <c r="C39" s="13" t="s">
        <v>30</v>
      </c>
      <c r="D39" s="298">
        <f t="shared" si="4"/>
        <v>61.06</v>
      </c>
      <c r="E39" s="298">
        <f>'Додаток2 скор'!E38+'Додаток3 скор'!D30+'Додаток4 скор'!D27</f>
        <v>0.3</v>
      </c>
      <c r="F39" s="298">
        <f t="shared" si="5"/>
        <v>52.46</v>
      </c>
      <c r="G39" s="306">
        <f>'Додаток2 скор'!G38+'Додаток3 скор'!F30+'Додаток4 скор'!F25</f>
        <v>0.22</v>
      </c>
      <c r="H39" s="298">
        <f>'Додаток2 скор'!H38+'Додаток3 скор'!G30+'Додаток4 скор'!G25</f>
        <v>51.91</v>
      </c>
      <c r="I39" s="298">
        <f>'Додаток2 скор'!I38+'Додаток3 скор'!H30+'Додаток4 скор'!H25</f>
        <v>0.25</v>
      </c>
      <c r="J39" s="298">
        <f>'Додаток2 скор'!J38+'Додаток3 скор'!I30+'Додаток4 скор'!I25</f>
        <v>3.87</v>
      </c>
      <c r="K39" s="298">
        <f>'Додаток2 скор'!K38+'Додаток3 скор'!J30+'Додаток4 скор'!J25</f>
        <v>44.6</v>
      </c>
      <c r="L39" s="306">
        <f>'Додаток2 скор'!L38+'Додаток3 скор'!K30+'Додаток4 скор'!K25</f>
        <v>0.22</v>
      </c>
      <c r="M39" s="298">
        <f>'Додаток2 скор'!M38+'Додаток3 скор'!L30+'Додаток4 скор'!L25</f>
        <v>6.89</v>
      </c>
      <c r="N39" s="298">
        <f>'Додаток2 скор'!N38+'Додаток3 скор'!M30+'Додаток4 скор'!M25</f>
        <v>0.25</v>
      </c>
      <c r="O39" s="298">
        <f>'Додаток2 скор'!O38+'Додаток3 скор'!N30+'Додаток4 скор'!N25</f>
        <v>3.87</v>
      </c>
      <c r="P39" s="298">
        <f>'Додаток2 скор'!P38+'Додаток3 скор'!O30+'Додаток4 скор'!O25</f>
        <v>5.92</v>
      </c>
      <c r="Q39" s="306">
        <f>'Додаток2 скор'!Q38+'Додаток3 скор'!P30+'Додаток4 скор'!P25</f>
        <v>0.22</v>
      </c>
      <c r="R39" s="298">
        <f>'Додаток2 скор'!R38+'Додаток3 скор'!Q30+'Додаток4 скор'!Q25</f>
        <v>2.2599999999999998</v>
      </c>
      <c r="S39" s="298">
        <f>'Додаток2 скор'!S38+'Додаток3 скор'!R30+'Додаток4 скор'!R25</f>
        <v>0.25</v>
      </c>
      <c r="T39" s="298">
        <f>'Додаток2 скор'!T38+'Додаток3 скор'!S30+'Додаток4 скор'!S25</f>
        <v>3.87</v>
      </c>
      <c r="U39" s="298">
        <f>'Додаток2 скор'!U38+'Додаток3 скор'!T30+'Додаток4 скор'!T25</f>
        <v>1.94</v>
      </c>
      <c r="V39" s="306">
        <f>'Додаток2 скор'!V38+'Додаток3 скор'!U30+'Додаток4 скор'!U25</f>
        <v>0.22</v>
      </c>
      <c r="W39" s="57">
        <f>U39/$U$59*1000</f>
        <v>0.22</v>
      </c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250"/>
      <c r="AL39" s="250"/>
      <c r="AM39" s="250"/>
      <c r="AN39" s="250"/>
      <c r="AO39" s="250"/>
      <c r="AP39" s="250"/>
      <c r="AQ39" s="250"/>
      <c r="AR39" s="250"/>
      <c r="AS39" s="250"/>
      <c r="AT39" s="250"/>
      <c r="AU39" s="250"/>
      <c r="AV39" s="250"/>
      <c r="AW39" s="250"/>
      <c r="AX39" s="250"/>
      <c r="AY39" s="250"/>
      <c r="AZ39" s="250"/>
      <c r="BA39" s="250"/>
      <c r="BB39" s="250"/>
      <c r="BC39" s="250"/>
      <c r="BD39" s="250"/>
      <c r="BE39" s="250"/>
      <c r="BF39" s="250"/>
      <c r="BG39" s="250"/>
      <c r="BH39" s="250"/>
      <c r="BI39" s="250"/>
      <c r="BJ39" s="250"/>
      <c r="BK39" s="250"/>
      <c r="BL39" s="250"/>
      <c r="BM39" s="250"/>
      <c r="BN39" s="250"/>
      <c r="BO39" s="250"/>
      <c r="BP39" s="250"/>
      <c r="BQ39" s="250"/>
      <c r="BR39" s="250"/>
      <c r="BS39" s="250"/>
      <c r="BT39" s="250"/>
      <c r="BU39" s="250"/>
      <c r="BV39" s="250"/>
      <c r="BW39" s="250"/>
      <c r="BX39" s="250"/>
      <c r="BY39" s="250"/>
      <c r="BZ39" s="250"/>
      <c r="CA39" s="250"/>
      <c r="CB39" s="250"/>
      <c r="CC39" s="250"/>
      <c r="CD39" s="250"/>
      <c r="CE39" s="250"/>
      <c r="CF39" s="250"/>
      <c r="CG39" s="250"/>
      <c r="CH39" s="250"/>
      <c r="CI39" s="250"/>
      <c r="CJ39" s="250"/>
      <c r="CK39" s="250"/>
      <c r="CL39" s="250"/>
      <c r="CM39" s="250"/>
      <c r="CN39" s="250"/>
      <c r="CO39" s="250"/>
      <c r="CP39" s="250"/>
      <c r="CQ39" s="250"/>
      <c r="CR39" s="250"/>
      <c r="CS39" s="250"/>
      <c r="CT39" s="250"/>
      <c r="CU39" s="250"/>
      <c r="CV39" s="250"/>
      <c r="CW39" s="250"/>
      <c r="CX39" s="250"/>
    </row>
    <row r="40" spans="1:102" s="8" customFormat="1" ht="18" customHeight="1">
      <c r="A40" s="95" t="s">
        <v>54</v>
      </c>
      <c r="B40" s="223" t="s">
        <v>56</v>
      </c>
      <c r="C40" s="13" t="s">
        <v>30</v>
      </c>
      <c r="D40" s="298">
        <f t="shared" si="4"/>
        <v>30.26</v>
      </c>
      <c r="E40" s="298">
        <f>'Додаток2 скор'!E39+'Додаток3 скор'!D31+'Додаток4 скор'!D29</f>
        <v>0.15</v>
      </c>
      <c r="F40" s="298">
        <f t="shared" si="5"/>
        <v>30.26</v>
      </c>
      <c r="G40" s="306">
        <f>'Додаток2 скор'!G39+'Додаток3 скор'!F31+'Додаток4 скор'!F26-0.01</f>
        <v>0.11</v>
      </c>
      <c r="H40" s="298">
        <f>'Додаток2 скор'!H39+'Додаток3 скор'!G31+'Додаток4 скор'!G26</f>
        <v>25.73</v>
      </c>
      <c r="I40" s="298">
        <f>'Додаток2 скор'!I39+'Додаток3 скор'!H31+'Додаток4 скор'!H26</f>
        <v>0.12</v>
      </c>
      <c r="J40" s="298">
        <f>'Додаток2 скор'!J39+'Додаток3 скор'!I31+'Додаток4 скор'!I26</f>
        <v>3</v>
      </c>
      <c r="K40" s="298">
        <f>'Додаток2 скор'!K39+'Додаток3 скор'!J31+'Додаток4 скор'!J26</f>
        <v>25.73</v>
      </c>
      <c r="L40" s="306">
        <f>'Додаток2 скор'!L39+'Додаток3 скор'!K31+'Додаток4 скор'!K26-0.01</f>
        <v>0.11</v>
      </c>
      <c r="M40" s="298">
        <f>'Додаток2 скор'!M39+'Додаток3 скор'!L31+'Додаток4 скор'!L26</f>
        <v>3.41</v>
      </c>
      <c r="N40" s="298">
        <f>'Додаток2 скор'!N39+'Додаток3 скор'!M31+'Додаток4 скор'!M26</f>
        <v>0.12</v>
      </c>
      <c r="O40" s="298">
        <f>'Додаток2 скор'!O39+'Додаток3 скор'!N31+'Додаток4 скор'!N26</f>
        <v>3</v>
      </c>
      <c r="P40" s="298">
        <f>'Додаток2 скор'!P39+'Додаток3 скор'!O31+'Додаток4 скор'!O26</f>
        <v>3.41</v>
      </c>
      <c r="Q40" s="306">
        <f>'Додаток2 скор'!Q39+'Додаток3 скор'!P31+'Додаток4 скор'!P26-0.01</f>
        <v>0.11</v>
      </c>
      <c r="R40" s="298">
        <f>'Додаток2 скор'!R39+'Додаток3 скор'!Q31+'Додаток4 скор'!Q26</f>
        <v>1.1200000000000001</v>
      </c>
      <c r="S40" s="298">
        <f>'Додаток2 скор'!S39+'Додаток3 скор'!R31+'Додаток4 скор'!R26</f>
        <v>0.12</v>
      </c>
      <c r="T40" s="298">
        <f>'Додаток2 скор'!T39+'Додаток3 скор'!S31+'Додаток4 скор'!S26</f>
        <v>2</v>
      </c>
      <c r="U40" s="298">
        <f>'Додаток2 скор'!U39+'Додаток3 скор'!T31+'Додаток4 скор'!T26</f>
        <v>1.1200000000000001</v>
      </c>
      <c r="V40" s="306">
        <f>'Додаток2 скор'!V39+'Додаток3 скор'!U31+'Додаток4 скор'!U26-0.01</f>
        <v>0.11</v>
      </c>
      <c r="W40" s="57">
        <f>U40/$U$59*1000</f>
        <v>0.13</v>
      </c>
    </row>
    <row r="41" spans="1:102" s="6" customFormat="1" ht="18" customHeight="1">
      <c r="A41" s="534" t="s">
        <v>57</v>
      </c>
      <c r="B41" s="314" t="s">
        <v>58</v>
      </c>
      <c r="C41" s="315" t="s">
        <v>30</v>
      </c>
      <c r="D41" s="305">
        <f t="shared" si="4"/>
        <v>3028.32</v>
      </c>
      <c r="E41" s="305">
        <f>'Додаток2 скор'!E40+'Додаток3 скор'!D32+'Додаток4 скор'!D30</f>
        <v>12.49</v>
      </c>
      <c r="F41" s="305">
        <f t="shared" si="5"/>
        <v>3779.76</v>
      </c>
      <c r="G41" s="305">
        <f>'Додаток2 скор'!G40+'Додаток3 скор'!F32+'Додаток4 скор'!F27</f>
        <v>15.65</v>
      </c>
      <c r="H41" s="305">
        <f>'Додаток2 скор'!H40+'Додаток3 скор'!G32+'Додаток4 скор'!G27</f>
        <v>2574.5700000000002</v>
      </c>
      <c r="I41" s="305">
        <f>'Додаток2 скор'!I40+'Додаток3 скор'!H32+'Додаток4 скор'!H27</f>
        <v>12.53</v>
      </c>
      <c r="J41" s="305">
        <f>'Додаток2 скор'!J40+'Додаток3 скор'!I32+'Додаток4 скор'!I27</f>
        <v>3.74</v>
      </c>
      <c r="K41" s="305">
        <f>'Додаток2 скор'!K40+'Додаток3 скор'!J32+'Додаток4 скор'!J27+0.01</f>
        <v>3213.43</v>
      </c>
      <c r="L41" s="305">
        <f>'Додаток2 скор'!L40+'Додаток3 скор'!K32+'Додаток4 скор'!K27</f>
        <v>15.65</v>
      </c>
      <c r="M41" s="305">
        <f>'Додаток2 скор'!M40+'Додаток3 скор'!L32+'Додаток4 скор'!L27</f>
        <v>341.65</v>
      </c>
      <c r="N41" s="305">
        <f>'Додаток2 скор'!N40+'Додаток3 скор'!M32+'Додаток4 скор'!M27</f>
        <v>12.53</v>
      </c>
      <c r="O41" s="305">
        <f>'Додаток2 скор'!O40+'Додаток3 скор'!N32+'Додаток4 скор'!N27</f>
        <v>3.74</v>
      </c>
      <c r="P41" s="305">
        <f>'Додаток2 скор'!P40+'Додаток3 скор'!O32+'Додаток4 скор'!O27</f>
        <v>426.41</v>
      </c>
      <c r="Q41" s="305">
        <f>'Додаток2 скор'!Q40+'Додаток3 скор'!P32+'Додаток4 скор'!P27</f>
        <v>15.65</v>
      </c>
      <c r="R41" s="305">
        <f>'Додаток2 скор'!R40+'Додаток3 скор'!Q32+'Додаток4 скор'!Q27</f>
        <v>112.1</v>
      </c>
      <c r="S41" s="305">
        <f>'Додаток2 скор'!S40+'Додаток3 скор'!R32+'Додаток4 скор'!R27</f>
        <v>12.54</v>
      </c>
      <c r="T41" s="305">
        <f>'Додаток2 скор'!T40+'Додаток3 скор'!S32+'Додаток4 скор'!S27</f>
        <v>3.73</v>
      </c>
      <c r="U41" s="305">
        <f>'Додаток2 скор'!U40+'Додаток3 скор'!T32+'Додаток4 скор'!T27</f>
        <v>139.91999999999999</v>
      </c>
      <c r="V41" s="305">
        <f>'Додаток2 скор'!V40+'Додаток3 скор'!U32+'Додаток4 скор'!U27</f>
        <v>15.65</v>
      </c>
      <c r="W41" s="57">
        <f>U41/$U$59*1000</f>
        <v>15.65</v>
      </c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249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49"/>
      <c r="BP41" s="249"/>
      <c r="BQ41" s="249"/>
      <c r="BR41" s="249"/>
      <c r="BS41" s="249"/>
      <c r="BT41" s="249"/>
      <c r="BU41" s="249"/>
      <c r="BV41" s="249"/>
      <c r="BW41" s="249"/>
      <c r="BX41" s="249"/>
      <c r="BY41" s="249"/>
      <c r="BZ41" s="249"/>
      <c r="CA41" s="249"/>
      <c r="CB41" s="249"/>
      <c r="CC41" s="249"/>
      <c r="CD41" s="249"/>
      <c r="CE41" s="249"/>
      <c r="CF41" s="249"/>
      <c r="CG41" s="249"/>
      <c r="CH41" s="249"/>
      <c r="CI41" s="249"/>
      <c r="CJ41" s="249"/>
      <c r="CK41" s="249"/>
      <c r="CL41" s="249"/>
      <c r="CM41" s="249"/>
      <c r="CN41" s="249"/>
      <c r="CO41" s="249"/>
      <c r="CP41" s="249"/>
      <c r="CQ41" s="249"/>
      <c r="CR41" s="249"/>
      <c r="CS41" s="249"/>
      <c r="CT41" s="249"/>
      <c r="CU41" s="249"/>
      <c r="CV41" s="249"/>
      <c r="CW41" s="249"/>
      <c r="CX41" s="249"/>
    </row>
    <row r="42" spans="1:102" s="231" customFormat="1" ht="18" customHeight="1">
      <c r="A42" s="252" t="s">
        <v>59</v>
      </c>
      <c r="B42" s="223" t="s">
        <v>345</v>
      </c>
      <c r="C42" s="14"/>
      <c r="D42" s="298">
        <f t="shared" si="4"/>
        <v>2605.16</v>
      </c>
      <c r="E42" s="298">
        <f>'Додаток2 скор'!E41+'Додаток3 скор'!D33+'Додаток4 скор'!D31</f>
        <v>10.75</v>
      </c>
      <c r="F42" s="298">
        <f t="shared" si="5"/>
        <v>3356.6</v>
      </c>
      <c r="G42" s="306">
        <f>'Додаток2 скор'!G41+'Додаток3 скор'!F33+'Додаток4 скор'!F28</f>
        <v>13.9</v>
      </c>
      <c r="H42" s="298">
        <f>'Додаток2 скор'!H41+'Додаток3 скор'!G33+'Додаток4 скор'!G28</f>
        <v>2214.8200000000002</v>
      </c>
      <c r="I42" s="298">
        <f>'Додаток2 скор'!I41+'Додаток3 скор'!H33+'Додаток4 скор'!H28</f>
        <v>10.78</v>
      </c>
      <c r="J42" s="298">
        <f>'Додаток2 скор'!J41+'Додаток3 скор'!I33+'Додаток4 скор'!I28</f>
        <v>3.87</v>
      </c>
      <c r="K42" s="298">
        <f>'Додаток2 скор'!K41+'Додаток3 скор'!J33+'Додаток4 скор'!J28+0.01</f>
        <v>2853.68</v>
      </c>
      <c r="L42" s="306">
        <f>'Додаток2 скор'!L41+'Додаток3 скор'!K33+'Додаток4 скор'!K28</f>
        <v>13.9</v>
      </c>
      <c r="M42" s="298">
        <f>'Додаток2 скор'!M41+'Додаток3 скор'!L33+'Додаток4 скор'!L28</f>
        <v>293.91000000000003</v>
      </c>
      <c r="N42" s="298">
        <f>'Додаток2 скор'!N41+'Додаток3 скор'!M33+'Додаток4 скор'!M28</f>
        <v>10.78</v>
      </c>
      <c r="O42" s="298">
        <f>'Додаток2 скор'!O41+'Додаток3 скор'!N33+'Додаток4 скор'!N28</f>
        <v>3.87</v>
      </c>
      <c r="P42" s="298">
        <f>'Додаток2 скор'!P41+'Додаток3 скор'!O33+'Додаток4 скор'!O28</f>
        <v>378.67</v>
      </c>
      <c r="Q42" s="306">
        <f>'Додаток2 скор'!Q41+'Додаток3 скор'!P33+'Додаток4 скор'!P28</f>
        <v>13.9</v>
      </c>
      <c r="R42" s="298">
        <f>'Додаток2 скор'!R41+'Додаток3 скор'!Q33+'Додаток4 скор'!Q28</f>
        <v>96.43</v>
      </c>
      <c r="S42" s="298">
        <f>'Додаток2 скор'!S41+'Додаток3 скор'!R33+'Додаток4 скор'!R28</f>
        <v>10.78</v>
      </c>
      <c r="T42" s="298">
        <f>'Додаток2 скор'!T41+'Додаток3 скор'!S33+'Додаток4 скор'!S28</f>
        <v>3.87</v>
      </c>
      <c r="U42" s="298">
        <f>'Додаток2 скор'!U41+'Додаток3 скор'!T33+'Додаток4 скор'!T28</f>
        <v>124.25</v>
      </c>
      <c r="V42" s="306">
        <f>'Додаток2 скор'!V41+'Додаток3 скор'!U33+'Додаток4 скор'!U28</f>
        <v>13.9</v>
      </c>
      <c r="W42" s="57"/>
      <c r="X42" s="250"/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  <c r="AP42" s="250"/>
      <c r="AQ42" s="250"/>
      <c r="AR42" s="250"/>
      <c r="AS42" s="250"/>
      <c r="AT42" s="250"/>
      <c r="AU42" s="250"/>
      <c r="AV42" s="250"/>
      <c r="AW42" s="250"/>
      <c r="AX42" s="250"/>
      <c r="AY42" s="250"/>
      <c r="AZ42" s="250"/>
      <c r="BA42" s="250"/>
      <c r="BB42" s="250"/>
      <c r="BC42" s="250"/>
      <c r="BD42" s="250"/>
      <c r="BE42" s="250"/>
      <c r="BF42" s="250"/>
      <c r="BG42" s="250"/>
      <c r="BH42" s="250"/>
      <c r="BI42" s="250"/>
      <c r="BJ42" s="250"/>
      <c r="BK42" s="250"/>
      <c r="BL42" s="250"/>
      <c r="BM42" s="250"/>
      <c r="BN42" s="250"/>
      <c r="BO42" s="250"/>
      <c r="BP42" s="250"/>
      <c r="BQ42" s="250"/>
      <c r="BR42" s="250"/>
      <c r="BS42" s="250"/>
      <c r="BT42" s="250"/>
      <c r="BU42" s="250"/>
      <c r="BV42" s="250"/>
      <c r="BW42" s="250"/>
      <c r="BX42" s="250"/>
      <c r="BY42" s="250"/>
      <c r="BZ42" s="250"/>
      <c r="CA42" s="250"/>
      <c r="CB42" s="250"/>
      <c r="CC42" s="250"/>
      <c r="CD42" s="250"/>
      <c r="CE42" s="250"/>
      <c r="CF42" s="250"/>
      <c r="CG42" s="250"/>
      <c r="CH42" s="250"/>
      <c r="CI42" s="250"/>
      <c r="CJ42" s="250"/>
      <c r="CK42" s="250"/>
      <c r="CL42" s="250"/>
      <c r="CM42" s="250"/>
      <c r="CN42" s="250"/>
      <c r="CO42" s="250"/>
      <c r="CP42" s="250"/>
      <c r="CQ42" s="250"/>
      <c r="CR42" s="250"/>
      <c r="CS42" s="250"/>
      <c r="CT42" s="250"/>
      <c r="CU42" s="250"/>
      <c r="CV42" s="250"/>
      <c r="CW42" s="250"/>
      <c r="CX42" s="250"/>
    </row>
    <row r="43" spans="1:102" s="231" customFormat="1" ht="18" customHeight="1">
      <c r="A43" s="95" t="s">
        <v>348</v>
      </c>
      <c r="B43" s="479" t="s">
        <v>53</v>
      </c>
      <c r="C43" s="13" t="s">
        <v>30</v>
      </c>
      <c r="D43" s="298">
        <f t="shared" si="4"/>
        <v>1900.74</v>
      </c>
      <c r="E43" s="298">
        <f>'Додаток2 скор'!E42+'Додаток3 скор'!D34+'Додаток4 скор'!D32</f>
        <v>7.84</v>
      </c>
      <c r="F43" s="298">
        <f t="shared" si="5"/>
        <v>2751.3</v>
      </c>
      <c r="G43" s="306">
        <f>'Додаток2 скор'!G42+'Додаток3 скор'!F34+'Додаток4 скор'!F29</f>
        <v>11.39</v>
      </c>
      <c r="H43" s="298">
        <f>'Додаток2 скор'!H42+'Додаток3 скор'!G34+'Додаток4 скор'!G29</f>
        <v>1615.95</v>
      </c>
      <c r="I43" s="298">
        <f>'Додаток2 скор'!I42+'Додаток3 скор'!H34+'Додаток4 скор'!H29</f>
        <v>7.87</v>
      </c>
      <c r="J43" s="298">
        <f>'Додаток2 скор'!J42+'Додаток3 скор'!I34+'Додаток4 скор'!I29</f>
        <v>3.87</v>
      </c>
      <c r="K43" s="298">
        <f>'Додаток2 скор'!K42+'Додаток3 скор'!J34+'Додаток4 скор'!J29</f>
        <v>2339.0700000000002</v>
      </c>
      <c r="L43" s="306">
        <f>'Додаток2 скор'!L42+'Додаток3 скор'!K34+'Додаток4 скор'!K29</f>
        <v>11.39</v>
      </c>
      <c r="M43" s="298">
        <f>'Додаток2 скор'!M42+'Додаток3 скор'!L34+'Додаток4 скор'!L29</f>
        <v>214.44</v>
      </c>
      <c r="N43" s="298">
        <f>'Додаток2 скор'!N42+'Додаток3 скор'!M34+'Додаток4 скор'!M29</f>
        <v>7.87</v>
      </c>
      <c r="O43" s="298">
        <f>'Додаток2 скор'!O42+'Додаток3 скор'!N34+'Додаток4 скор'!N29</f>
        <v>3.87</v>
      </c>
      <c r="P43" s="298">
        <f>'Додаток2 скор'!P42+'Додаток3 скор'!O34+'Додаток4 скор'!O29</f>
        <v>310.39</v>
      </c>
      <c r="Q43" s="306">
        <f>'Додаток2 скор'!Q42+'Додаток3 скор'!P34+'Додаток4 скор'!P29</f>
        <v>11.39</v>
      </c>
      <c r="R43" s="298">
        <f>'Додаток2 скор'!R42+'Додаток3 скор'!Q34+'Додаток4 скор'!Q29</f>
        <v>70.349999999999994</v>
      </c>
      <c r="S43" s="298">
        <f>'Додаток2 скор'!S42+'Додаток3 скор'!R34+'Додаток4 скор'!R29</f>
        <v>7.87</v>
      </c>
      <c r="T43" s="298">
        <f>'Додаток2 скор'!T42+'Додаток3 скор'!S34+'Додаток4 скор'!S29</f>
        <v>3.87</v>
      </c>
      <c r="U43" s="298">
        <f>'Додаток2 скор'!U42+'Додаток3 скор'!T34+'Додаток4 скор'!T29</f>
        <v>101.84</v>
      </c>
      <c r="V43" s="306">
        <f>'Додаток2 скор'!V42+'Додаток3 скор'!U34+'Додаток4 скор'!U29</f>
        <v>11.39</v>
      </c>
      <c r="W43" s="57">
        <f t="shared" ref="W43:W48" si="8">U43/$U$59*1000</f>
        <v>11.39</v>
      </c>
      <c r="X43" s="250"/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  <c r="AP43" s="250"/>
      <c r="AQ43" s="250"/>
      <c r="AR43" s="250"/>
      <c r="AS43" s="250"/>
      <c r="AT43" s="250"/>
      <c r="AU43" s="250"/>
      <c r="AV43" s="250"/>
      <c r="AW43" s="250"/>
      <c r="AX43" s="250"/>
      <c r="AY43" s="250"/>
      <c r="AZ43" s="250"/>
      <c r="BA43" s="250"/>
      <c r="BB43" s="250"/>
      <c r="BC43" s="250"/>
      <c r="BD43" s="250"/>
      <c r="BE43" s="250"/>
      <c r="BF43" s="250"/>
      <c r="BG43" s="250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  <c r="BT43" s="250"/>
      <c r="BU43" s="250"/>
      <c r="BV43" s="250"/>
      <c r="BW43" s="250"/>
      <c r="BX43" s="250"/>
      <c r="BY43" s="250"/>
      <c r="BZ43" s="250"/>
      <c r="CA43" s="250"/>
      <c r="CB43" s="250"/>
      <c r="CC43" s="250"/>
      <c r="CD43" s="250"/>
      <c r="CE43" s="250"/>
      <c r="CF43" s="250"/>
      <c r="CG43" s="250"/>
      <c r="CH43" s="250"/>
      <c r="CI43" s="250"/>
      <c r="CJ43" s="250"/>
      <c r="CK43" s="250"/>
      <c r="CL43" s="250"/>
      <c r="CM43" s="250"/>
      <c r="CN43" s="250"/>
      <c r="CO43" s="250"/>
      <c r="CP43" s="250"/>
      <c r="CQ43" s="250"/>
      <c r="CR43" s="250"/>
      <c r="CS43" s="250"/>
      <c r="CT43" s="250"/>
      <c r="CU43" s="250"/>
      <c r="CV43" s="250"/>
      <c r="CW43" s="250"/>
      <c r="CX43" s="250"/>
    </row>
    <row r="44" spans="1:102" s="231" customFormat="1" ht="18" customHeight="1">
      <c r="A44" s="95" t="s">
        <v>349</v>
      </c>
      <c r="B44" s="479" t="s">
        <v>45</v>
      </c>
      <c r="C44" s="13" t="s">
        <v>30</v>
      </c>
      <c r="D44" s="298">
        <f t="shared" si="4"/>
        <v>704.42</v>
      </c>
      <c r="E44" s="298">
        <f>'Додаток2 скор'!E43+'Додаток3 скор'!D35+'Додаток4 скор'!D30</f>
        <v>2.91</v>
      </c>
      <c r="F44" s="298">
        <f t="shared" si="5"/>
        <v>605.29</v>
      </c>
      <c r="G44" s="306">
        <f>'Додаток2 скор'!G43+'Додаток3 скор'!F35+'Додаток4 скор'!F30</f>
        <v>2.5099999999999998</v>
      </c>
      <c r="H44" s="298">
        <f>'Додаток2 скор'!H43+'Додаток3 скор'!G35+'Додаток4 скор'!G30</f>
        <v>598.87</v>
      </c>
      <c r="I44" s="298">
        <f>'Додаток2 скор'!I43+'Додаток3 скор'!H35+'Додаток4 скор'!H30</f>
        <v>2.91</v>
      </c>
      <c r="J44" s="298">
        <f>'Додаток2 скор'!J43+'Додаток3 скор'!I35+'Додаток4 скор'!I30</f>
        <v>3.87</v>
      </c>
      <c r="K44" s="298">
        <f>'Додаток2 скор'!K43+'Додаток3 скор'!J35+'Додаток4 скор'!J30</f>
        <v>514.6</v>
      </c>
      <c r="L44" s="306">
        <f>'Додаток2 скор'!L43+'Додаток3 скор'!K35+'Додаток4 скор'!K30</f>
        <v>2.5099999999999998</v>
      </c>
      <c r="M44" s="298">
        <f>'Додаток2 скор'!M43+'Додаток3 скор'!L35+'Додаток4 скор'!L30</f>
        <v>79.47</v>
      </c>
      <c r="N44" s="298">
        <f>'Додаток2 скор'!N43+'Додаток3 скор'!M35+'Додаток4 скор'!M30</f>
        <v>2.91</v>
      </c>
      <c r="O44" s="298">
        <f>'Додаток2 скор'!O43+'Додаток3 скор'!N35+'Додаток4 скор'!N30</f>
        <v>3.87</v>
      </c>
      <c r="P44" s="298">
        <f>'Додаток2 скор'!P43+'Додаток3 скор'!O35+'Додаток4 скор'!O30</f>
        <v>68.28</v>
      </c>
      <c r="Q44" s="306">
        <f>'Додаток2 скор'!Q43+'Додаток3 скор'!P35+'Додаток4 скор'!P30</f>
        <v>2.5099999999999998</v>
      </c>
      <c r="R44" s="298">
        <f>'Додаток2 скор'!R43+'Додаток3 скор'!Q35+'Додаток4 скор'!Q30</f>
        <v>26.08</v>
      </c>
      <c r="S44" s="298">
        <f>'Додаток2 скор'!S43+'Додаток3 скор'!R35+'Додаток4 скор'!R30</f>
        <v>2.92</v>
      </c>
      <c r="T44" s="298">
        <f>'Додаток2 скор'!T43+'Додаток3 скор'!S35+'Додаток4 скор'!S30</f>
        <v>3.87</v>
      </c>
      <c r="U44" s="298">
        <f>'Додаток2 скор'!U43+'Додаток3 скор'!T35+'Додаток4 скор'!T30</f>
        <v>22.41</v>
      </c>
      <c r="V44" s="306">
        <f>'Додаток2 скор'!V43+'Додаток3 скор'!U35+'Додаток4 скор'!U30</f>
        <v>2.5099999999999998</v>
      </c>
      <c r="W44" s="57">
        <f t="shared" si="8"/>
        <v>2.5099999999999998</v>
      </c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  <c r="AO44" s="250"/>
      <c r="AP44" s="250"/>
      <c r="AQ44" s="250"/>
      <c r="AR44" s="250"/>
      <c r="AS44" s="250"/>
      <c r="AT44" s="250"/>
      <c r="AU44" s="250"/>
      <c r="AV44" s="250"/>
      <c r="AW44" s="250"/>
      <c r="AX44" s="250"/>
      <c r="AY44" s="250"/>
      <c r="AZ44" s="250"/>
      <c r="BA44" s="250"/>
      <c r="BB44" s="250"/>
      <c r="BC44" s="250"/>
      <c r="BD44" s="250"/>
      <c r="BE44" s="250"/>
      <c r="BF44" s="250"/>
      <c r="BG44" s="250"/>
      <c r="BH44" s="250"/>
      <c r="BI44" s="250"/>
      <c r="BJ44" s="250"/>
      <c r="BK44" s="250"/>
      <c r="BL44" s="250"/>
      <c r="BM44" s="250"/>
      <c r="BN44" s="250"/>
      <c r="BO44" s="250"/>
      <c r="BP44" s="250"/>
      <c r="BQ44" s="250"/>
      <c r="BR44" s="250"/>
      <c r="BS44" s="250"/>
      <c r="BT44" s="250"/>
      <c r="BU44" s="250"/>
      <c r="BV44" s="250"/>
      <c r="BW44" s="250"/>
      <c r="BX44" s="250"/>
      <c r="BY44" s="250"/>
      <c r="BZ44" s="250"/>
      <c r="CA44" s="250"/>
      <c r="CB44" s="250"/>
      <c r="CC44" s="250"/>
      <c r="CD44" s="250"/>
      <c r="CE44" s="250"/>
      <c r="CF44" s="250"/>
      <c r="CG44" s="250"/>
      <c r="CH44" s="250"/>
      <c r="CI44" s="250"/>
      <c r="CJ44" s="250"/>
      <c r="CK44" s="250"/>
      <c r="CL44" s="250"/>
      <c r="CM44" s="250"/>
      <c r="CN44" s="250"/>
      <c r="CO44" s="250"/>
      <c r="CP44" s="250"/>
      <c r="CQ44" s="250"/>
      <c r="CR44" s="250"/>
      <c r="CS44" s="250"/>
      <c r="CT44" s="250"/>
      <c r="CU44" s="250"/>
      <c r="CV44" s="250"/>
      <c r="CW44" s="250"/>
      <c r="CX44" s="250"/>
    </row>
    <row r="45" spans="1:102" s="8" customFormat="1" ht="17.100000000000001" customHeight="1">
      <c r="A45" s="95" t="s">
        <v>60</v>
      </c>
      <c r="B45" s="223" t="s">
        <v>56</v>
      </c>
      <c r="C45" s="13" t="s">
        <v>30</v>
      </c>
      <c r="D45" s="298">
        <f t="shared" si="4"/>
        <v>423.16</v>
      </c>
      <c r="E45" s="298">
        <f>'Додаток2 скор'!E44+'Додаток3 скор'!D36+'Додаток4 скор'!D31</f>
        <v>1.75</v>
      </c>
      <c r="F45" s="298">
        <f t="shared" si="5"/>
        <v>423.16</v>
      </c>
      <c r="G45" s="306">
        <f>'Додаток2 скор'!G44+'Додаток3 скор'!F36+'Додаток4 скор'!F31</f>
        <v>1.75</v>
      </c>
      <c r="H45" s="298">
        <f>'Додаток2 скор'!H44+'Додаток3 скор'!G36+'Додаток4 скор'!G31</f>
        <v>359.75</v>
      </c>
      <c r="I45" s="298">
        <f>'Додаток2 скор'!I44+'Додаток3 скор'!H36+'Додаток4 скор'!H31</f>
        <v>1.75</v>
      </c>
      <c r="J45" s="298">
        <f>'Додаток2 скор'!J44+'Додаток3 скор'!I36+'Додаток4 скор'!I31</f>
        <v>3</v>
      </c>
      <c r="K45" s="298">
        <f>'Додаток2 скор'!K44+'Додаток3 скор'!J36+'Додаток4 скор'!J31</f>
        <v>359.75</v>
      </c>
      <c r="L45" s="306">
        <f>'Додаток2 скор'!L44+'Додаток3 скор'!K36+'Додаток4 скор'!K31</f>
        <v>1.75</v>
      </c>
      <c r="M45" s="298">
        <f>'Додаток2 скор'!M44+'Додаток3 скор'!L36+'Додаток4 скор'!L31</f>
        <v>47.74</v>
      </c>
      <c r="N45" s="298">
        <f>'Додаток2 скор'!N44+'Додаток3 скор'!M36+'Додаток4 скор'!M31</f>
        <v>1.75</v>
      </c>
      <c r="O45" s="298">
        <f>'Додаток2 скор'!O44+'Додаток3 скор'!N36+'Додаток4 скор'!N31</f>
        <v>3</v>
      </c>
      <c r="P45" s="298">
        <f>'Додаток2 скор'!P44+'Додаток3 скор'!O36+'Додаток4 скор'!O31</f>
        <v>47.74</v>
      </c>
      <c r="Q45" s="306">
        <f>'Додаток2 скор'!Q44+'Додаток3 скор'!P36+'Додаток4 скор'!P31</f>
        <v>1.75</v>
      </c>
      <c r="R45" s="298">
        <f>'Додаток2 скор'!R44+'Додаток3 скор'!Q36+'Додаток4 скор'!Q31</f>
        <v>15.67</v>
      </c>
      <c r="S45" s="298">
        <f>'Додаток2 скор'!S44+'Додаток3 скор'!R36+'Додаток4 скор'!R31</f>
        <v>1.75</v>
      </c>
      <c r="T45" s="298">
        <f>'Додаток2 скор'!T44+'Додаток3 скор'!S36+'Додаток4 скор'!S31</f>
        <v>3</v>
      </c>
      <c r="U45" s="298">
        <f>'Додаток2 скор'!U44+'Додаток3 скор'!T36+'Додаток4 скор'!T31</f>
        <v>15.67</v>
      </c>
      <c r="V45" s="306">
        <f>'Додаток2 скор'!V44+'Додаток3 скор'!U36+'Додаток4 скор'!U31</f>
        <v>1.75</v>
      </c>
      <c r="W45" s="57">
        <f t="shared" si="8"/>
        <v>1.75</v>
      </c>
    </row>
    <row r="46" spans="1:102" s="6" customFormat="1" ht="17.100000000000001" hidden="1" customHeight="1">
      <c r="A46" s="252">
        <v>3</v>
      </c>
      <c r="B46" s="222" t="s">
        <v>202</v>
      </c>
      <c r="C46" s="14" t="s">
        <v>30</v>
      </c>
      <c r="D46" s="296">
        <f t="shared" si="4"/>
        <v>0</v>
      </c>
      <c r="E46" s="296">
        <f>'Додаток2 скор'!E45+'Додаток3 скор'!D37+'Додаток4 скор'!D32</f>
        <v>0</v>
      </c>
      <c r="F46" s="296">
        <f t="shared" si="5"/>
        <v>0</v>
      </c>
      <c r="G46" s="305">
        <f>'Додаток2 скор'!G45+'Додаток3 скор'!F37+'Додаток4 скор'!F32</f>
        <v>0</v>
      </c>
      <c r="H46" s="296">
        <f>'Додаток2 скор'!H45+'Додаток3 скор'!G37+'Додаток4 скор'!G32</f>
        <v>0</v>
      </c>
      <c r="I46" s="296">
        <f>'Додаток2 скор'!I45+'Додаток3 скор'!H37+'Додаток4 скор'!H32</f>
        <v>0</v>
      </c>
      <c r="J46" s="296">
        <f>'Додаток2 скор'!J45+'Додаток3 скор'!I37+'Додаток4 скор'!I32</f>
        <v>0</v>
      </c>
      <c r="K46" s="296">
        <f>'Додаток2 скор'!K45+'Додаток3 скор'!J37+'Додаток4 скор'!J32</f>
        <v>0</v>
      </c>
      <c r="L46" s="305">
        <f>'Додаток2 скор'!L45+'Додаток3 скор'!K37+'Додаток4 скор'!K32</f>
        <v>0</v>
      </c>
      <c r="M46" s="296">
        <f>'Додаток2 скор'!M45+'Додаток3 скор'!L37+'Додаток4 скор'!L32</f>
        <v>0</v>
      </c>
      <c r="N46" s="296">
        <f>'Додаток2 скор'!N45+'Додаток3 скор'!M37+'Додаток4 скор'!M32</f>
        <v>0</v>
      </c>
      <c r="O46" s="296">
        <f>'Додаток2 скор'!O45+'Додаток3 скор'!N37+'Додаток4 скор'!N32</f>
        <v>0</v>
      </c>
      <c r="P46" s="296">
        <f>'Додаток2 скор'!P45+'Додаток3 скор'!O37+'Додаток4 скор'!O32</f>
        <v>0</v>
      </c>
      <c r="Q46" s="305">
        <f>'Додаток2 скор'!Q45+'Додаток3 скор'!P37+'Додаток4 скор'!P32</f>
        <v>0</v>
      </c>
      <c r="R46" s="296">
        <f>'Додаток2 скор'!R45+'Додаток3 скор'!Q37+'Додаток4 скор'!Q32</f>
        <v>0</v>
      </c>
      <c r="S46" s="296">
        <f>'Додаток2 скор'!S45+'Додаток3 скор'!R37+'Додаток4 скор'!R32</f>
        <v>0</v>
      </c>
      <c r="T46" s="296">
        <f>'Додаток2 скор'!T45+'Додаток3 скор'!S37+'Додаток4 скор'!S32</f>
        <v>0</v>
      </c>
      <c r="U46" s="296">
        <f>'Додаток2 скор'!U45+'Додаток3 скор'!T37+'Додаток4 скор'!T32</f>
        <v>0</v>
      </c>
      <c r="V46" s="305">
        <f>'Додаток2 скор'!V45+'Додаток3 скор'!U37+'Додаток4 скор'!U32</f>
        <v>0</v>
      </c>
      <c r="W46" s="57">
        <f t="shared" si="8"/>
        <v>0</v>
      </c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49"/>
      <c r="BR46" s="249"/>
      <c r="BS46" s="249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49"/>
    </row>
    <row r="47" spans="1:102" s="8" customFormat="1" ht="17.100000000000001" customHeight="1">
      <c r="A47" s="252" t="s">
        <v>372</v>
      </c>
      <c r="B47" s="222" t="s">
        <v>103</v>
      </c>
      <c r="C47" s="14" t="s">
        <v>30</v>
      </c>
      <c r="D47" s="296">
        <f t="shared" si="4"/>
        <v>0</v>
      </c>
      <c r="E47" s="296" t="e">
        <f>'Додаток2 скор'!E49+Додаток3!F46+Додаток4!#REF!</f>
        <v>#REF!</v>
      </c>
      <c r="F47" s="296">
        <f t="shared" si="5"/>
        <v>0</v>
      </c>
      <c r="G47" s="305">
        <f>'Додаток2 скор'!G49+Додаток3!J46+Додаток4!J45</f>
        <v>0</v>
      </c>
      <c r="H47" s="296">
        <f>'Додаток2 скор'!H49+'Додаток3 скор'!G38+'Додаток4 скор'!G33</f>
        <v>0</v>
      </c>
      <c r="I47" s="296">
        <f>'Додаток2 скор'!I49+Додаток3!P46+Додаток4!P45</f>
        <v>0</v>
      </c>
      <c r="J47" s="320">
        <f t="shared" si="0"/>
        <v>0</v>
      </c>
      <c r="K47" s="296">
        <f>'Додаток2 скор'!K49+'Додаток3 скор'!J38+'Додаток4 скор'!J33</f>
        <v>0</v>
      </c>
      <c r="L47" s="305">
        <f>'Додаток2 скор'!L46+'Додаток3 скор'!K38+'Додаток4 скор'!K33</f>
        <v>0</v>
      </c>
      <c r="M47" s="296">
        <f>'Додаток2 скор'!M49+'Додаток3 скор'!L38+'Додаток4 скор'!L33</f>
        <v>0</v>
      </c>
      <c r="N47" s="296">
        <f>'Додаток2 скор'!N46+'Додаток3 скор'!M38+'Додаток4 скор'!M33</f>
        <v>0</v>
      </c>
      <c r="O47" s="320">
        <f t="shared" si="1"/>
        <v>0</v>
      </c>
      <c r="P47" s="296">
        <f>'Додаток2 скор'!P49+'Додаток3 скор'!O38+'Додаток4 скор'!O33</f>
        <v>0</v>
      </c>
      <c r="Q47" s="305">
        <f>'Додаток2 скор'!Q46+'Додаток3 скор'!P38+'Додаток4 скор'!P33</f>
        <v>0</v>
      </c>
      <c r="R47" s="296">
        <f>'Додаток2 скор'!R49+'Додаток3 скор'!Q38+'Додаток4 скор'!Q33</f>
        <v>0</v>
      </c>
      <c r="S47" s="296">
        <f>'Додаток2 скор'!S46+'Додаток3 скор'!R38+'Додаток4 скор'!R33</f>
        <v>0</v>
      </c>
      <c r="T47" s="320">
        <f t="shared" si="2"/>
        <v>0</v>
      </c>
      <c r="U47" s="296">
        <f>'Додаток2 скор'!U49+'Додаток3 скор'!T38+'Додаток4 скор'!T33</f>
        <v>0</v>
      </c>
      <c r="V47" s="305">
        <f>'Додаток2 скор'!V46+'Додаток3 скор'!U38+'Додаток4 скор'!U33</f>
        <v>0</v>
      </c>
      <c r="W47" s="57">
        <f t="shared" si="8"/>
        <v>0</v>
      </c>
    </row>
    <row r="48" spans="1:102" s="8" customFormat="1" ht="25.5" customHeight="1">
      <c r="A48" s="252" t="s">
        <v>374</v>
      </c>
      <c r="B48" s="222" t="s">
        <v>65</v>
      </c>
      <c r="C48" s="14" t="s">
        <v>30</v>
      </c>
      <c r="D48" s="296">
        <f t="shared" si="4"/>
        <v>0</v>
      </c>
      <c r="E48" s="296" t="e">
        <f>'Додаток2 скор'!E50+Додаток3!F47+Додаток4!#REF!</f>
        <v>#REF!</v>
      </c>
      <c r="F48" s="296">
        <f t="shared" si="5"/>
        <v>0</v>
      </c>
      <c r="G48" s="305">
        <f>'Додаток2 скор'!G50+Додаток3!J47+Додаток4!J46</f>
        <v>0</v>
      </c>
      <c r="H48" s="296">
        <f>'Додаток2 скор'!H50+'Додаток3 скор'!G39+'Додаток4 скор'!G34</f>
        <v>0</v>
      </c>
      <c r="I48" s="296">
        <f>'Додаток2 скор'!I50+Додаток3!P47+Додаток4!P46</f>
        <v>0</v>
      </c>
      <c r="J48" s="320">
        <f t="shared" si="0"/>
        <v>0</v>
      </c>
      <c r="K48" s="296">
        <f>'Додаток2 скор'!K50+'Додаток3 скор'!J39+'Додаток4 скор'!J34</f>
        <v>0</v>
      </c>
      <c r="L48" s="305">
        <f>'Додаток2 скор'!L47+'Додаток3 скор'!K39+'Додаток4 скор'!K34</f>
        <v>0</v>
      </c>
      <c r="M48" s="296">
        <f>'Додаток2 скор'!M50+'Додаток3 скор'!L39+'Додаток4 скор'!L34</f>
        <v>0</v>
      </c>
      <c r="N48" s="296">
        <f>'Додаток2 скор'!N47+'Додаток3 скор'!M39+'Додаток4 скор'!M34</f>
        <v>0</v>
      </c>
      <c r="O48" s="320">
        <f t="shared" si="1"/>
        <v>0</v>
      </c>
      <c r="P48" s="296">
        <f>'Додаток2 скор'!P50+'Додаток3 скор'!O39+'Додаток4 скор'!O34</f>
        <v>0</v>
      </c>
      <c r="Q48" s="305">
        <f>'Додаток2 скор'!Q47+'Додаток3 скор'!P39+'Додаток4 скор'!P34</f>
        <v>0</v>
      </c>
      <c r="R48" s="296">
        <f>'Додаток2 скор'!R50+'Додаток3 скор'!Q39+'Додаток4 скор'!Q34</f>
        <v>0</v>
      </c>
      <c r="S48" s="296">
        <f>'Додаток2 скор'!S47+'Додаток3 скор'!R39+'Додаток4 скор'!R34</f>
        <v>0</v>
      </c>
      <c r="T48" s="320">
        <f t="shared" si="2"/>
        <v>0</v>
      </c>
      <c r="U48" s="296">
        <f>'Додаток2 скор'!U50+'Додаток3 скор'!T39+'Додаток4 скор'!T34</f>
        <v>0</v>
      </c>
      <c r="V48" s="305">
        <f>'Додаток2 скор'!V47+'Додаток3 скор'!U39+'Додаток4 скор'!U34</f>
        <v>0</v>
      </c>
      <c r="W48" s="57">
        <f t="shared" si="8"/>
        <v>0</v>
      </c>
    </row>
    <row r="49" spans="1:102" s="8" customFormat="1" ht="18.75" customHeight="1">
      <c r="A49" s="534" t="s">
        <v>375</v>
      </c>
      <c r="B49" s="314" t="s">
        <v>100</v>
      </c>
      <c r="C49" s="315" t="s">
        <v>30</v>
      </c>
      <c r="D49" s="312">
        <f t="shared" si="4"/>
        <v>100999.63</v>
      </c>
      <c r="E49" s="305">
        <f>'Додаток2 скор'!E51+'Додаток3 скор'!D40+'Додаток4 скор'!D35</f>
        <v>418.23</v>
      </c>
      <c r="F49" s="312">
        <f t="shared" si="5"/>
        <v>299898.56</v>
      </c>
      <c r="G49" s="305">
        <f>ROUNDUP('Додаток2 скор'!G51+'Додаток3 скор'!F40+'Додаток4 скор'!F35,2)</f>
        <v>1241.8599999999999</v>
      </c>
      <c r="H49" s="312">
        <f>'Додаток2 скор'!H51+'Додаток3 скор'!G40+'Додаток4 скор'!G35</f>
        <v>68661.100000000006</v>
      </c>
      <c r="I49" s="305">
        <f>'Додаток2 скор'!I51+'Додаток3 скор'!H40+'Додаток4 скор'!H35</f>
        <v>334.43</v>
      </c>
      <c r="J49" s="321">
        <f t="shared" si="0"/>
        <v>3.488</v>
      </c>
      <c r="K49" s="305">
        <f>'Додаток2 скор'!K51+'Додаток3 скор'!J40+'Додаток4 скор'!J35</f>
        <v>239488.63</v>
      </c>
      <c r="L49" s="305">
        <f>ROUNDUP('Додаток2 скор'!L51+'Додаток3 скор'!K40+'Додаток4 скор'!K35,2)</f>
        <v>1166.48</v>
      </c>
      <c r="M49" s="305">
        <f>'Додаток2 скор'!M51+'Додаток3 скор'!L40+'Додаток4 скор'!L35</f>
        <v>24349.43</v>
      </c>
      <c r="N49" s="305">
        <f>'Додаток2 скор'!N51+'Додаток3 скор'!M40+'Додаток4 скор'!M35</f>
        <v>893.75</v>
      </c>
      <c r="O49" s="321">
        <f t="shared" si="1"/>
        <v>1.8680000000000001</v>
      </c>
      <c r="P49" s="305">
        <f>'Додаток2 скор'!P51+'Додаток3 скор'!O40+'Додаток4 скор'!O35</f>
        <v>45485.919999999998</v>
      </c>
      <c r="Q49" s="305">
        <f>'Додаток2 скор'!Q51+'Додаток3 скор'!P40+'Додаток4 скор'!P35</f>
        <v>1669.57</v>
      </c>
      <c r="R49" s="305">
        <f>'Додаток2 скор'!R51+'Додаток3 скор'!Q40+'Додаток4 скор'!Q35</f>
        <v>7989.1</v>
      </c>
      <c r="S49" s="305">
        <f>'Додаток2 скор'!S51+'Додаток3 скор'!R40+'Додаток4 скор'!R35</f>
        <v>893.75</v>
      </c>
      <c r="T49" s="321">
        <f t="shared" si="2"/>
        <v>1.8680000000000001</v>
      </c>
      <c r="U49" s="305">
        <f>'Додаток2 скор'!U51+'Додаток3 скор'!T40+'Додаток4 скор'!T35+0.01</f>
        <v>14924.01</v>
      </c>
      <c r="V49" s="305">
        <f>'Додаток2 скор'!V51+'Додаток3 скор'!U40+'Додаток4 скор'!U35</f>
        <v>1669.57</v>
      </c>
      <c r="W49" s="57">
        <f>U49/U59*1000</f>
        <v>1669.57</v>
      </c>
    </row>
    <row r="50" spans="1:102" s="8" customFormat="1" ht="18.75" customHeight="1">
      <c r="A50" s="534" t="s">
        <v>376</v>
      </c>
      <c r="B50" s="314" t="s">
        <v>373</v>
      </c>
      <c r="C50" s="315"/>
      <c r="D50" s="312">
        <f>H50+M50+R50</f>
        <v>0</v>
      </c>
      <c r="E50" s="305">
        <f>'Додаток2 скор'!E52+'Додаток3 скор'!D41+'Додаток4 скор'!D37</f>
        <v>0.02</v>
      </c>
      <c r="F50" s="312">
        <f t="shared" si="5"/>
        <v>0</v>
      </c>
      <c r="G50" s="305">
        <f>ROUNDUP('Додаток2 скор'!G52+'Додаток3 скор'!F41+'Додаток4 скор'!F37,2)</f>
        <v>0</v>
      </c>
      <c r="H50" s="312"/>
      <c r="I50" s="305"/>
      <c r="J50" s="321"/>
      <c r="K50" s="305">
        <v>0</v>
      </c>
      <c r="L50" s="305">
        <f>ROUNDUP('Додаток2 скор'!L52+'Додаток3 скор'!K41+'Додаток4 скор'!K37,2)</f>
        <v>0</v>
      </c>
      <c r="M50" s="305"/>
      <c r="N50" s="305"/>
      <c r="O50" s="321"/>
      <c r="P50" s="305">
        <f>'Додаток2 скор'!P52+'Додаток3 скор'!O42+'Додаток4 скор'!O37</f>
        <v>0</v>
      </c>
      <c r="Q50" s="305">
        <f>'Додаток2 скор'!Q52+'Додаток3 скор'!P42+'Додаток4 скор'!P37</f>
        <v>0</v>
      </c>
      <c r="R50" s="305"/>
      <c r="S50" s="305"/>
      <c r="T50" s="321"/>
      <c r="U50" s="305">
        <f>'Додаток2 скор'!U52+'Додаток3 скор'!T42+'Додаток4 скор'!T37</f>
        <v>0</v>
      </c>
      <c r="V50" s="305">
        <f>'Додаток2 скор'!V52+'Додаток3 скор'!U42+'Додаток4 скор'!U37</f>
        <v>0</v>
      </c>
      <c r="W50" s="57"/>
    </row>
    <row r="51" spans="1:102" s="231" customFormat="1" ht="17.100000000000001" customHeight="1">
      <c r="A51" s="534">
        <v>7</v>
      </c>
      <c r="B51" s="317" t="s">
        <v>140</v>
      </c>
      <c r="C51" s="315" t="s">
        <v>30</v>
      </c>
      <c r="D51" s="305">
        <f t="shared" si="4"/>
        <v>1430.22</v>
      </c>
      <c r="E51" s="305">
        <f>'Додаток2 скор'!E53+'Додаток3 скор'!D42+'Додаток4 скор'!D37</f>
        <v>5.93</v>
      </c>
      <c r="F51" s="305">
        <f t="shared" si="5"/>
        <v>0</v>
      </c>
      <c r="G51" s="305">
        <f>'Додаток2 скор'!G53+'Додаток3 скор'!F42+'Додаток4 скор'!F37</f>
        <v>0</v>
      </c>
      <c r="H51" s="305">
        <f>'Додаток2 скор'!H53+'Додаток3 скор'!G42+'Додаток4 скор'!G37</f>
        <v>0</v>
      </c>
      <c r="I51" s="305">
        <f>'Додаток2 скор'!I53+'Додаток3 скор'!H42+'Додаток4 скор'!H37</f>
        <v>0</v>
      </c>
      <c r="J51" s="321">
        <f t="shared" si="0"/>
        <v>0</v>
      </c>
      <c r="K51" s="305">
        <f>'Додаток2 скор'!K53+'Додаток3 скор'!J42+'Додаток4 скор'!J37</f>
        <v>0</v>
      </c>
      <c r="L51" s="305">
        <f>'Додаток2 скор'!L53+'Додаток3 скор'!K42+'Додаток4 скор'!K37</f>
        <v>0</v>
      </c>
      <c r="M51" s="305">
        <f>'Додаток2 скор'!M53+'Додаток3 скор'!L42+'Додаток4 скор'!L37</f>
        <v>1076.8900000000001</v>
      </c>
      <c r="N51" s="305">
        <f>'Додаток2 скор'!N53+'Додаток3 скор'!M42+'Додаток4 скор'!M37</f>
        <v>39.520000000000003</v>
      </c>
      <c r="O51" s="321">
        <f t="shared" si="1"/>
        <v>0</v>
      </c>
      <c r="P51" s="305">
        <f>'Додаток2 скор'!P53+'Додаток3 скор'!O42+'Додаток4 скор'!O37</f>
        <v>0</v>
      </c>
      <c r="Q51" s="305">
        <f>ROUND('Додаток2 скор'!Q53+'Додаток3 скор'!P42+'Додаток4 скор'!P37,2)</f>
        <v>0</v>
      </c>
      <c r="R51" s="305">
        <f>'Додаток2 скор'!R53+'Додаток3 скор'!Q42+'Додаток4 скор'!Q37</f>
        <v>353.33</v>
      </c>
      <c r="S51" s="305">
        <f>'Додаток2 скор'!S53+'Додаток3 скор'!R42+'Додаток4 скор'!R37</f>
        <v>39.520000000000003</v>
      </c>
      <c r="T51" s="321">
        <f t="shared" si="2"/>
        <v>0</v>
      </c>
      <c r="U51" s="305">
        <f>'Додаток2 скор'!U53+'Додаток3 скор'!T42+'Додаток4 скор'!T37</f>
        <v>0</v>
      </c>
      <c r="V51" s="305">
        <f>ROUND('Додаток2 скор'!V53+'Додаток3 скор'!U42+'Додаток4 скор'!U37,2)</f>
        <v>0</v>
      </c>
      <c r="W51" s="57">
        <f>U51/U59*1000</f>
        <v>0</v>
      </c>
      <c r="X51" s="250"/>
      <c r="Y51" s="258">
        <f>M56+R56</f>
        <v>0</v>
      </c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50"/>
      <c r="AU51" s="250"/>
      <c r="AV51" s="250"/>
      <c r="AW51" s="250"/>
      <c r="AX51" s="250"/>
      <c r="AY51" s="250"/>
      <c r="AZ51" s="250"/>
      <c r="BA51" s="250"/>
      <c r="BB51" s="250"/>
      <c r="BC51" s="250"/>
      <c r="BD51" s="250"/>
      <c r="BE51" s="250"/>
      <c r="BF51" s="250"/>
      <c r="BG51" s="250"/>
      <c r="BH51" s="250"/>
      <c r="BI51" s="250"/>
      <c r="BJ51" s="250"/>
      <c r="BK51" s="250"/>
      <c r="BL51" s="250"/>
      <c r="BM51" s="250"/>
      <c r="BN51" s="250"/>
      <c r="BO51" s="250"/>
      <c r="BP51" s="250"/>
      <c r="BQ51" s="250"/>
      <c r="BR51" s="250"/>
      <c r="BS51" s="250"/>
      <c r="BT51" s="250"/>
      <c r="BU51" s="250"/>
      <c r="BV51" s="250"/>
      <c r="BW51" s="250"/>
      <c r="BX51" s="250"/>
      <c r="BY51" s="250"/>
      <c r="BZ51" s="250"/>
      <c r="CA51" s="250"/>
      <c r="CB51" s="250"/>
      <c r="CC51" s="250"/>
      <c r="CD51" s="250"/>
      <c r="CE51" s="250"/>
      <c r="CF51" s="250"/>
      <c r="CG51" s="250"/>
      <c r="CH51" s="250"/>
      <c r="CI51" s="250"/>
      <c r="CJ51" s="250"/>
      <c r="CK51" s="250"/>
      <c r="CL51" s="250"/>
      <c r="CM51" s="250"/>
      <c r="CN51" s="250"/>
      <c r="CO51" s="250"/>
      <c r="CP51" s="250"/>
      <c r="CQ51" s="250"/>
      <c r="CR51" s="250"/>
      <c r="CS51" s="250"/>
      <c r="CT51" s="250"/>
      <c r="CU51" s="250"/>
      <c r="CV51" s="250"/>
      <c r="CW51" s="250"/>
      <c r="CX51" s="250"/>
    </row>
    <row r="52" spans="1:102" s="231" customFormat="1" ht="17.100000000000001" hidden="1" customHeight="1">
      <c r="A52" s="95" t="s">
        <v>66</v>
      </c>
      <c r="B52" s="223" t="s">
        <v>67</v>
      </c>
      <c r="C52" s="13" t="s">
        <v>30</v>
      </c>
      <c r="D52" s="298">
        <f t="shared" si="4"/>
        <v>0</v>
      </c>
      <c r="E52" s="298">
        <f>'Додаток2 скор'!E54+'Додаток3 скор'!D43+'Додаток4 скор'!D38</f>
        <v>0</v>
      </c>
      <c r="F52" s="298">
        <f t="shared" si="5"/>
        <v>0</v>
      </c>
      <c r="G52" s="306">
        <f>'Додаток2 скор'!G54+'Додаток3 скор'!F43+'Додаток4 скор'!F38</f>
        <v>0</v>
      </c>
      <c r="H52" s="298">
        <f>'Додаток2 скор'!H54+'Додаток3 скор'!G43+'Додаток4 скор'!G38</f>
        <v>0</v>
      </c>
      <c r="I52" s="298">
        <f>'Додаток2 скор'!I54+'Додаток3 скор'!H43+'Додаток4 скор'!H38</f>
        <v>0</v>
      </c>
      <c r="J52" s="322">
        <f t="shared" si="0"/>
        <v>0</v>
      </c>
      <c r="K52" s="298">
        <f>'Додаток2 скор'!K54+'Додаток3 скор'!J43+'Додаток4 скор'!J38</f>
        <v>0</v>
      </c>
      <c r="L52" s="306">
        <f>'Додаток2 скор'!L54+'Додаток3 скор'!K43+'Додаток4 скор'!K38</f>
        <v>0</v>
      </c>
      <c r="M52" s="298">
        <f>'Додаток2 скор'!M54+'Додаток3 скор'!L43+'Додаток4 скор'!L38</f>
        <v>0</v>
      </c>
      <c r="N52" s="298">
        <f>'Додаток2 скор'!N54+'Додаток3 скор'!M43+'Додаток4 скор'!M38</f>
        <v>0</v>
      </c>
      <c r="O52" s="322">
        <f t="shared" si="1"/>
        <v>0</v>
      </c>
      <c r="P52" s="298">
        <f>'Додаток2 скор'!P54+'Додаток3 скор'!O43+'Додаток4 скор'!O38</f>
        <v>0</v>
      </c>
      <c r="Q52" s="306">
        <f>'Додаток2 скор'!Q54+'Додаток3 скор'!P43+'Додаток4 скор'!P38</f>
        <v>0</v>
      </c>
      <c r="R52" s="298">
        <f>'Додаток2 скор'!R54+'Додаток3 скор'!Q43+'Додаток4 скор'!Q38</f>
        <v>0</v>
      </c>
      <c r="S52" s="298">
        <f>'Додаток2 скор'!S54+'Додаток3 скор'!R43+'Додаток4 скор'!R38</f>
        <v>0</v>
      </c>
      <c r="T52" s="322">
        <f t="shared" si="2"/>
        <v>0</v>
      </c>
      <c r="U52" s="298">
        <f>'Додаток2 скор'!U54+'Додаток3 скор'!T43+'Додаток4 скор'!T38</f>
        <v>0</v>
      </c>
      <c r="V52" s="306">
        <f>'Додаток2 скор'!V54+'Додаток3 скор'!U43+'Додаток4 скор'!U38</f>
        <v>0</v>
      </c>
      <c r="W52" s="23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</row>
    <row r="53" spans="1:102" s="231" customFormat="1" ht="17.100000000000001" hidden="1" customHeight="1">
      <c r="A53" s="95" t="s">
        <v>68</v>
      </c>
      <c r="B53" s="223" t="s">
        <v>69</v>
      </c>
      <c r="C53" s="13" t="s">
        <v>30</v>
      </c>
      <c r="D53" s="298">
        <f t="shared" si="4"/>
        <v>0</v>
      </c>
      <c r="E53" s="298" t="e">
        <f>I53+N53+S53</f>
        <v>#REF!</v>
      </c>
      <c r="F53" s="298">
        <f t="shared" si="5"/>
        <v>0</v>
      </c>
      <c r="G53" s="306" t="e">
        <f>'Додаток2 скор'!G55+Додаток3!F52+Додаток4!#REF!</f>
        <v>#REF!</v>
      </c>
      <c r="H53" s="298"/>
      <c r="I53" s="298">
        <f>'Додаток2 скор'!I55+Додаток3!J52+Додаток4!J51</f>
        <v>0</v>
      </c>
      <c r="J53" s="322">
        <f t="shared" si="0"/>
        <v>0</v>
      </c>
      <c r="K53" s="298"/>
      <c r="L53" s="306">
        <f>'Додаток2 скор'!L55+Додаток3!U52+Додаток4!U51</f>
        <v>0</v>
      </c>
      <c r="M53" s="298"/>
      <c r="N53" s="298" t="e">
        <f>'Додаток2 скор'!N55+Додаток3!#REF!+Додаток4!#REF!</f>
        <v>#REF!</v>
      </c>
      <c r="O53" s="322">
        <f t="shared" si="1"/>
        <v>0</v>
      </c>
      <c r="P53" s="298"/>
      <c r="Q53" s="306" t="e">
        <f>'Додаток2 скор'!Q55+Додаток3!#REF!+Додаток4!#REF!</f>
        <v>#REF!</v>
      </c>
      <c r="R53" s="298"/>
      <c r="S53" s="298" t="e">
        <f>'Додаток2 скор'!S55+Додаток3!#REF!+Додаток4!#REF!</f>
        <v>#REF!</v>
      </c>
      <c r="T53" s="322">
        <f t="shared" si="2"/>
        <v>0</v>
      </c>
      <c r="U53" s="298"/>
      <c r="V53" s="306">
        <f>'Додаток2 скор'!V55+Додаток3!AD50+Додаток4!AD51</f>
        <v>0</v>
      </c>
      <c r="W53" s="230"/>
      <c r="X53" s="250"/>
      <c r="Y53" s="258">
        <f>P56+U56</f>
        <v>0</v>
      </c>
      <c r="Z53" s="250"/>
      <c r="AA53" s="250"/>
      <c r="AB53" s="250"/>
      <c r="AC53" s="250"/>
      <c r="AD53" s="250"/>
      <c r="AE53" s="250"/>
      <c r="AF53" s="250"/>
      <c r="AG53" s="250"/>
      <c r="AH53" s="250"/>
      <c r="AI53" s="250"/>
      <c r="AJ53" s="250"/>
      <c r="AK53" s="250"/>
      <c r="AL53" s="250"/>
      <c r="AM53" s="250"/>
      <c r="AN53" s="250"/>
      <c r="AO53" s="250"/>
      <c r="AP53" s="250"/>
      <c r="AQ53" s="250"/>
      <c r="AR53" s="250"/>
      <c r="AS53" s="250"/>
      <c r="AT53" s="250"/>
      <c r="AU53" s="250"/>
      <c r="AV53" s="250"/>
      <c r="AW53" s="250"/>
      <c r="AX53" s="250"/>
      <c r="AY53" s="250"/>
      <c r="AZ53" s="250"/>
      <c r="BA53" s="250"/>
      <c r="BB53" s="250"/>
      <c r="BC53" s="250"/>
      <c r="BD53" s="250"/>
      <c r="BE53" s="250"/>
      <c r="BF53" s="250"/>
      <c r="BG53" s="250"/>
      <c r="BH53" s="250"/>
      <c r="BI53" s="250"/>
      <c r="BJ53" s="250"/>
      <c r="BK53" s="250"/>
      <c r="BL53" s="250"/>
      <c r="BM53" s="250"/>
      <c r="BN53" s="250"/>
      <c r="BO53" s="250"/>
      <c r="BP53" s="250"/>
      <c r="BQ53" s="250"/>
      <c r="BR53" s="250"/>
      <c r="BS53" s="250"/>
      <c r="BT53" s="250"/>
      <c r="BU53" s="250"/>
      <c r="BV53" s="250"/>
      <c r="BW53" s="250"/>
      <c r="BX53" s="250"/>
      <c r="BY53" s="250"/>
      <c r="BZ53" s="250"/>
      <c r="CA53" s="250"/>
      <c r="CB53" s="250"/>
      <c r="CC53" s="250"/>
      <c r="CD53" s="250"/>
      <c r="CE53" s="250"/>
      <c r="CF53" s="250"/>
      <c r="CG53" s="250"/>
      <c r="CH53" s="250"/>
      <c r="CI53" s="250"/>
      <c r="CJ53" s="250"/>
      <c r="CK53" s="250"/>
      <c r="CL53" s="250"/>
      <c r="CM53" s="250"/>
      <c r="CN53" s="250"/>
      <c r="CO53" s="250"/>
      <c r="CP53" s="250"/>
      <c r="CQ53" s="250"/>
      <c r="CR53" s="250"/>
      <c r="CS53" s="250"/>
      <c r="CT53" s="250"/>
      <c r="CU53" s="250"/>
      <c r="CV53" s="250"/>
      <c r="CW53" s="250"/>
      <c r="CX53" s="250"/>
    </row>
    <row r="54" spans="1:102" s="231" customFormat="1" ht="17.25" customHeight="1">
      <c r="A54" s="95" t="s">
        <v>68</v>
      </c>
      <c r="B54" s="223" t="str">
        <f>'Додаток2 скор'!B56</f>
        <v xml:space="preserve">резервний фонд (капітал) та дивіденди </v>
      </c>
      <c r="C54" s="13" t="s">
        <v>30</v>
      </c>
      <c r="D54" s="298">
        <f t="shared" si="4"/>
        <v>0</v>
      </c>
      <c r="E54" s="298">
        <f>'Додаток2 скор'!E56+'Додаток3 скор'!D45+'Додаток4 скор'!D40</f>
        <v>0</v>
      </c>
      <c r="F54" s="298">
        <f t="shared" si="5"/>
        <v>0</v>
      </c>
      <c r="G54" s="306">
        <f>'Додаток2 скор'!G56+'Додаток3 скор'!F45+'Додаток4 скор'!F40</f>
        <v>0</v>
      </c>
      <c r="H54" s="298">
        <f>'Додаток2 скор'!H56+'Додаток3 скор'!G45+'Додаток4 скор'!G40</f>
        <v>0</v>
      </c>
      <c r="I54" s="298">
        <f>'Додаток2 скор'!I56+'Додаток3 скор'!H45+'Додаток4 скор'!H40</f>
        <v>0</v>
      </c>
      <c r="J54" s="322">
        <f t="shared" si="0"/>
        <v>0</v>
      </c>
      <c r="K54" s="298">
        <f>'Додаток2 скор'!K56+'Додаток3 скор'!J45+'Додаток4 скор'!J40</f>
        <v>0</v>
      </c>
      <c r="L54" s="306">
        <f>'Додаток2 скор'!L56+'Додаток3 скор'!K45+'Додаток4 скор'!K40</f>
        <v>0</v>
      </c>
      <c r="M54" s="298">
        <f>'Додаток2 скор'!M56+'Додаток3 скор'!L45+'Додаток4 скор'!L40</f>
        <v>0</v>
      </c>
      <c r="N54" s="298">
        <f>'Додаток2 скор'!N56+'Додаток3 скор'!M45+'Додаток4 скор'!M40</f>
        <v>0</v>
      </c>
      <c r="O54" s="322">
        <f t="shared" si="1"/>
        <v>0</v>
      </c>
      <c r="P54" s="298">
        <f>'Додаток2 скор'!P56+'Додаток3 скор'!O45+'Додаток4 скор'!O40</f>
        <v>0</v>
      </c>
      <c r="Q54" s="306">
        <f>'Додаток2 скор'!Q56+'Додаток3 скор'!P45+'Додаток4 скор'!P40</f>
        <v>0</v>
      </c>
      <c r="R54" s="298">
        <f>'Додаток2 скор'!R56+'Додаток3 скор'!Q45+'Додаток4 скор'!Q40</f>
        <v>0</v>
      </c>
      <c r="S54" s="298">
        <f>'Додаток2 скор'!S56+'Додаток3 скор'!R45+'Додаток4 скор'!R40</f>
        <v>0</v>
      </c>
      <c r="T54" s="322">
        <f t="shared" si="2"/>
        <v>0</v>
      </c>
      <c r="U54" s="298">
        <f>'Додаток2 скор'!U56+'Додаток3 скор'!T45+'Додаток4 скор'!T40</f>
        <v>0</v>
      </c>
      <c r="V54" s="306">
        <f>'Додаток2 скор'!V56+'Додаток3 скор'!U45+'Додаток4 скор'!U40</f>
        <v>0</v>
      </c>
      <c r="W54" s="230"/>
      <c r="X54" s="250"/>
      <c r="Y54" s="258">
        <f>Y51-Y53</f>
        <v>0</v>
      </c>
      <c r="Z54" s="250"/>
      <c r="AA54" s="250"/>
      <c r="AB54" s="250"/>
      <c r="AC54" s="250"/>
      <c r="AD54" s="250"/>
      <c r="AE54" s="250"/>
      <c r="AF54" s="250"/>
      <c r="AG54" s="250"/>
      <c r="AH54" s="250"/>
      <c r="AI54" s="250"/>
      <c r="AJ54" s="250"/>
      <c r="AK54" s="250"/>
      <c r="AL54" s="250"/>
      <c r="AM54" s="250"/>
      <c r="AN54" s="250"/>
      <c r="AO54" s="250"/>
      <c r="AP54" s="250"/>
      <c r="AQ54" s="250"/>
      <c r="AR54" s="250"/>
      <c r="AS54" s="250"/>
      <c r="AT54" s="250"/>
      <c r="AU54" s="250"/>
      <c r="AV54" s="250"/>
      <c r="AW54" s="250"/>
      <c r="AX54" s="250"/>
      <c r="AY54" s="250"/>
      <c r="AZ54" s="250"/>
      <c r="BA54" s="250"/>
      <c r="BB54" s="250"/>
      <c r="BC54" s="250"/>
      <c r="BD54" s="250"/>
      <c r="BE54" s="250"/>
      <c r="BF54" s="250"/>
      <c r="BG54" s="250"/>
      <c r="BH54" s="250"/>
      <c r="BI54" s="250"/>
      <c r="BJ54" s="250"/>
      <c r="BK54" s="250"/>
      <c r="BL54" s="250"/>
      <c r="BM54" s="250"/>
      <c r="BN54" s="250"/>
      <c r="BO54" s="250"/>
      <c r="BP54" s="250"/>
      <c r="BQ54" s="250"/>
      <c r="BR54" s="250"/>
      <c r="BS54" s="250"/>
      <c r="BT54" s="250"/>
      <c r="BU54" s="250"/>
      <c r="BV54" s="250"/>
      <c r="BW54" s="250"/>
      <c r="BX54" s="250"/>
      <c r="BY54" s="250"/>
      <c r="BZ54" s="250"/>
      <c r="CA54" s="250"/>
      <c r="CB54" s="250"/>
      <c r="CC54" s="250"/>
      <c r="CD54" s="250"/>
      <c r="CE54" s="250"/>
      <c r="CF54" s="250"/>
      <c r="CG54" s="250"/>
      <c r="CH54" s="250"/>
      <c r="CI54" s="250"/>
      <c r="CJ54" s="250"/>
      <c r="CK54" s="250"/>
      <c r="CL54" s="250"/>
      <c r="CM54" s="250"/>
      <c r="CN54" s="250"/>
      <c r="CO54" s="250"/>
      <c r="CP54" s="250"/>
      <c r="CQ54" s="250"/>
      <c r="CR54" s="250"/>
      <c r="CS54" s="250"/>
      <c r="CT54" s="250"/>
      <c r="CU54" s="250"/>
      <c r="CV54" s="250"/>
      <c r="CW54" s="250"/>
      <c r="CX54" s="250"/>
    </row>
    <row r="55" spans="1:102" s="231" customFormat="1" ht="22.5" customHeight="1">
      <c r="A55" s="95" t="s">
        <v>70</v>
      </c>
      <c r="B55" s="223" t="s">
        <v>72</v>
      </c>
      <c r="C55" s="13" t="s">
        <v>30</v>
      </c>
      <c r="D55" s="298">
        <f t="shared" si="4"/>
        <v>1430.22</v>
      </c>
      <c r="E55" s="298">
        <f>'Додаток2 скор'!E57+'Додаток3 скор'!D46+'Додаток4 скор'!D41</f>
        <v>5.93</v>
      </c>
      <c r="F55" s="298">
        <f t="shared" si="5"/>
        <v>0</v>
      </c>
      <c r="G55" s="306">
        <f>'Додаток2 скор'!G57+'Додаток3 скор'!F46+'Додаток4 скор'!F41</f>
        <v>0</v>
      </c>
      <c r="H55" s="298">
        <f>'Додаток2 скор'!H57+'Додаток3 скор'!G46+'Додаток4 скор'!G41</f>
        <v>0</v>
      </c>
      <c r="I55" s="298">
        <f>'Додаток2 скор'!I57+'Додаток3 скор'!H46+'Додаток4 скор'!H41</f>
        <v>0</v>
      </c>
      <c r="J55" s="322">
        <f t="shared" si="0"/>
        <v>0</v>
      </c>
      <c r="K55" s="298">
        <f>'Додаток2 скор'!K57+'Додаток3 скор'!J46+'Додаток4 скор'!J41</f>
        <v>0</v>
      </c>
      <c r="L55" s="306">
        <f>'Додаток2 скор'!L57+'Додаток3 скор'!K46+'Додаток4 скор'!K41</f>
        <v>0</v>
      </c>
      <c r="M55" s="298">
        <f>'Додаток2 скор'!M57+'Додаток3 скор'!L46+'Додаток4 скор'!L41</f>
        <v>1076.8900000000001</v>
      </c>
      <c r="N55" s="298">
        <f>'Додаток2 скор'!N57+'Додаток3 скор'!M46+'Додаток4 скор'!M41</f>
        <v>39.520000000000003</v>
      </c>
      <c r="O55" s="322">
        <f t="shared" si="1"/>
        <v>0</v>
      </c>
      <c r="P55" s="298">
        <f>'Додаток2 скор'!P57+'Додаток3 скор'!O46+'Додаток4 скор'!O41</f>
        <v>0</v>
      </c>
      <c r="Q55" s="306">
        <f>'Додаток2 скор'!Q57+'Додаток3 скор'!P46+'Додаток4 скор'!P41</f>
        <v>0</v>
      </c>
      <c r="R55" s="298">
        <f>'Додаток2 скор'!R57+'Додаток3 скор'!Q46+'Додаток4 скор'!Q41</f>
        <v>353.33</v>
      </c>
      <c r="S55" s="298">
        <f>'Додаток2 скор'!S57+'Додаток3 скор'!R46+'Додаток4 скор'!R41</f>
        <v>39.520000000000003</v>
      </c>
      <c r="T55" s="322">
        <f t="shared" si="2"/>
        <v>0</v>
      </c>
      <c r="U55" s="298">
        <f>'Додаток2 скор'!U57+'Додаток3 скор'!T46+'Додаток4 скор'!T41</f>
        <v>0</v>
      </c>
      <c r="V55" s="306">
        <f>'Додаток2 скор'!V57+'Додаток3 скор'!U46+'Додаток4 скор'!U41</f>
        <v>0</v>
      </c>
      <c r="W55" s="230">
        <f>U55/U59*1000</f>
        <v>0</v>
      </c>
      <c r="X55" s="250"/>
      <c r="Y55" s="258">
        <f>Y58+Y54</f>
        <v>28736.66</v>
      </c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0"/>
      <c r="BA55" s="250"/>
      <c r="BB55" s="250"/>
      <c r="BC55" s="250"/>
      <c r="BD55" s="250"/>
      <c r="BE55" s="250"/>
      <c r="BF55" s="250"/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0"/>
      <c r="BS55" s="250"/>
      <c r="BT55" s="250"/>
      <c r="BU55" s="250"/>
      <c r="BV55" s="250"/>
      <c r="BW55" s="250"/>
      <c r="BX55" s="250"/>
      <c r="BY55" s="250"/>
      <c r="BZ55" s="250"/>
      <c r="CA55" s="250"/>
      <c r="CB55" s="250"/>
      <c r="CC55" s="250"/>
      <c r="CD55" s="250"/>
      <c r="CE55" s="250"/>
      <c r="CF55" s="250"/>
      <c r="CG55" s="250"/>
      <c r="CH55" s="250"/>
      <c r="CI55" s="250"/>
      <c r="CJ55" s="250"/>
      <c r="CK55" s="250"/>
      <c r="CL55" s="250"/>
      <c r="CM55" s="250"/>
      <c r="CN55" s="250"/>
      <c r="CO55" s="250"/>
      <c r="CP55" s="250"/>
      <c r="CQ55" s="250"/>
      <c r="CR55" s="250"/>
      <c r="CS55" s="250"/>
      <c r="CT55" s="250"/>
      <c r="CU55" s="250"/>
      <c r="CV55" s="250"/>
      <c r="CW55" s="250"/>
      <c r="CX55" s="250"/>
    </row>
    <row r="56" spans="1:102" s="8" customFormat="1" ht="40.5" customHeight="1">
      <c r="A56" s="95" t="s">
        <v>71</v>
      </c>
      <c r="B56" s="223" t="s">
        <v>203</v>
      </c>
      <c r="C56" s="13" t="s">
        <v>30</v>
      </c>
      <c r="D56" s="298">
        <f t="shared" si="4"/>
        <v>0</v>
      </c>
      <c r="E56" s="298">
        <f>'Додаток2 скор'!E58+'Додаток3 скор'!D47+'Додаток4 скор'!D42</f>
        <v>0</v>
      </c>
      <c r="F56" s="298">
        <f t="shared" si="5"/>
        <v>0</v>
      </c>
      <c r="G56" s="306">
        <f>'Додаток2 скор'!G58+'Додаток3 скор'!F47+'Додаток4 скор'!F42</f>
        <v>0</v>
      </c>
      <c r="H56" s="298">
        <f>'Додаток2 скор'!H58+'Додаток3 скор'!G47+'Додаток4 скор'!G42</f>
        <v>0</v>
      </c>
      <c r="I56" s="298">
        <f>'Додаток2 скор'!I58+'Додаток3 скор'!H47+'Додаток4 скор'!H42</f>
        <v>0</v>
      </c>
      <c r="J56" s="322">
        <f t="shared" si="0"/>
        <v>0</v>
      </c>
      <c r="K56" s="298">
        <f>'Додаток2 скор'!K58+'Додаток3 скор'!J47+'Додаток4 скор'!J42</f>
        <v>0</v>
      </c>
      <c r="L56" s="306">
        <f>'Додаток2 скор'!L58+'Додаток3 скор'!K47+'Додаток4 скор'!K42</f>
        <v>0</v>
      </c>
      <c r="M56" s="298">
        <f>'Додаток2 скор'!M58+'Додаток3 скор'!L47+'Додаток4 скор'!L42</f>
        <v>0</v>
      </c>
      <c r="N56" s="298">
        <f>'Додаток2 скор'!N58+'Додаток3 скор'!M47+'Додаток4 скор'!M42</f>
        <v>0</v>
      </c>
      <c r="O56" s="322">
        <f t="shared" si="1"/>
        <v>0</v>
      </c>
      <c r="P56" s="298">
        <f>'Додаток2 скор'!P58+'Додаток3 скор'!O47+'Додаток4 скор'!O42</f>
        <v>0</v>
      </c>
      <c r="Q56" s="306">
        <f>'Додаток2 скор'!Q58+'Додаток3 скор'!P47+'Додаток4 скор'!P42</f>
        <v>0</v>
      </c>
      <c r="R56" s="298">
        <f>'Додаток2 скор'!R58+'Додаток3 скор'!Q47+'Додаток4 скор'!Q42</f>
        <v>0</v>
      </c>
      <c r="S56" s="298">
        <f>'Додаток2 скор'!S58+'Додаток3 скор'!R47+'Додаток4 скор'!R42</f>
        <v>0</v>
      </c>
      <c r="T56" s="322">
        <f t="shared" si="2"/>
        <v>0</v>
      </c>
      <c r="U56" s="298">
        <f>'Додаток2 скор'!U58+'Додаток3 скор'!T47+'Додаток4 скор'!T42</f>
        <v>0</v>
      </c>
      <c r="V56" s="306">
        <f>'Додаток2 скор'!V58+'Додаток3 скор'!U47+'Додаток4 скор'!U42</f>
        <v>0</v>
      </c>
      <c r="W56" s="230"/>
      <c r="X56" s="630" t="s">
        <v>233</v>
      </c>
      <c r="Y56" s="8">
        <f>P49/(P49+U49)</f>
        <v>0.75295435700720104</v>
      </c>
      <c r="Z56" s="8">
        <f>($Y$58-$Z$58)*Y56</f>
        <v>21637.393352834599</v>
      </c>
    </row>
    <row r="57" spans="1:102" s="8" customFormat="1" ht="22.5" customHeight="1">
      <c r="A57" s="534">
        <v>8</v>
      </c>
      <c r="B57" s="314" t="s">
        <v>232</v>
      </c>
      <c r="C57" s="315" t="s">
        <v>30</v>
      </c>
      <c r="D57" s="312">
        <f t="shared" si="4"/>
        <v>102429.85</v>
      </c>
      <c r="E57" s="305">
        <f>'Додаток2 скор'!E59+'Додаток3 скор'!D48+'Додаток4 скор'!D43</f>
        <v>424.15</v>
      </c>
      <c r="F57" s="312">
        <f t="shared" si="5"/>
        <v>299898.56</v>
      </c>
      <c r="G57" s="305">
        <f>ROUNDUP('Додаток2 скор'!G59+'Додаток3 скор'!F48+'Додаток4 скор'!F43,2)</f>
        <v>1241.8599999999999</v>
      </c>
      <c r="H57" s="312">
        <f>'Додаток2 скор'!H59+'Додаток3 скор'!G48+'Додаток4 скор'!G43</f>
        <v>68661.100000000006</v>
      </c>
      <c r="I57" s="305">
        <f>'Додаток2 скор'!I59+'Додаток3 скор'!H48+'Додаток4 скор'!H43</f>
        <v>334.43</v>
      </c>
      <c r="J57" s="321">
        <f t="shared" si="0"/>
        <v>3.488</v>
      </c>
      <c r="K57" s="305">
        <f>'Додаток2 скор'!K59+'Додаток3 скор'!J48+'Додаток4 скор'!J43</f>
        <v>239488.63</v>
      </c>
      <c r="L57" s="305">
        <f>'Додаток2 скор'!L59+'Додаток3 скор'!K48+'Додаток4 скор'!K43</f>
        <v>1166.48</v>
      </c>
      <c r="M57" s="305">
        <f>'Додаток2 скор'!M59+'Додаток3 скор'!L48+'Додаток4 скор'!L43</f>
        <v>25426.32</v>
      </c>
      <c r="N57" s="305">
        <f>'Додаток2 скор'!N59+'Додаток3 скор'!M48+'Додаток4 скор'!M43</f>
        <v>933.27</v>
      </c>
      <c r="O57" s="321">
        <f t="shared" si="1"/>
        <v>1.7888999999999999</v>
      </c>
      <c r="P57" s="305">
        <f>'Додаток2 скор'!P59+'Додаток3 скор'!O48+'Додаток4 скор'!O43</f>
        <v>45485.919999999998</v>
      </c>
      <c r="Q57" s="305">
        <f>ROUNDUP('Додаток2 скор'!Q59+'Додаток3 скор'!P48+'Додаток4 скор'!P43,2)</f>
        <v>1669.57</v>
      </c>
      <c r="R57" s="305">
        <f>'Додаток2 скор'!R59+'Додаток3 скор'!Q48+'Додаток4 скор'!Q43</f>
        <v>8342.43</v>
      </c>
      <c r="S57" s="305">
        <f>'Додаток2 скор'!S59+'Додаток3 скор'!R48+'Додаток4 скор'!R43</f>
        <v>933.27</v>
      </c>
      <c r="T57" s="321">
        <f t="shared" si="2"/>
        <v>1.7888999999999999</v>
      </c>
      <c r="U57" s="305">
        <f>'Додаток2 скор'!U59+'Додаток3 скор'!T48+'Додаток4 скор'!T43+0.01</f>
        <v>14924.01</v>
      </c>
      <c r="V57" s="305">
        <f>ROUNDUP('Додаток2 скор'!V59+'Додаток3 скор'!U48+'Додаток4 скор'!U43,2)</f>
        <v>1669.57</v>
      </c>
      <c r="W57" s="57">
        <f>U57/U59*1000</f>
        <v>1669.57</v>
      </c>
      <c r="X57" s="630" t="s">
        <v>234</v>
      </c>
      <c r="Y57" s="8">
        <f>U49/(U49+P49)</f>
        <v>0.24704564299279899</v>
      </c>
      <c r="Z57" s="8">
        <f>($Y$58-$Z$58)*Y57+0.01</f>
        <v>7099.2766471654504</v>
      </c>
    </row>
    <row r="58" spans="1:102" s="8" customFormat="1" ht="27" customHeight="1">
      <c r="A58" s="252">
        <v>9</v>
      </c>
      <c r="B58" s="222" t="s">
        <v>133</v>
      </c>
      <c r="C58" s="33"/>
      <c r="D58" s="296"/>
      <c r="E58" s="296">
        <f>E57</f>
        <v>424.15</v>
      </c>
      <c r="F58" s="296"/>
      <c r="G58" s="305">
        <f>G57</f>
        <v>1241.8599999999999</v>
      </c>
      <c r="H58" s="296"/>
      <c r="I58" s="296">
        <f>I57</f>
        <v>334.43</v>
      </c>
      <c r="J58" s="320">
        <f t="shared" si="0"/>
        <v>0</v>
      </c>
      <c r="K58" s="296"/>
      <c r="L58" s="305">
        <f>L57</f>
        <v>1166.48</v>
      </c>
      <c r="M58" s="296"/>
      <c r="N58" s="296">
        <f>N57</f>
        <v>933.27</v>
      </c>
      <c r="O58" s="320">
        <f t="shared" si="1"/>
        <v>0</v>
      </c>
      <c r="P58" s="296"/>
      <c r="Q58" s="305">
        <f>Q57</f>
        <v>1669.57</v>
      </c>
      <c r="R58" s="296"/>
      <c r="S58" s="296">
        <f>S57</f>
        <v>933.27</v>
      </c>
      <c r="T58" s="320">
        <f t="shared" si="2"/>
        <v>0</v>
      </c>
      <c r="U58" s="296"/>
      <c r="V58" s="305">
        <f>V57</f>
        <v>1669.57</v>
      </c>
      <c r="W58" s="57">
        <f>((S57*R59)+(N57*M59)+(I57*H59))/D59</f>
        <v>424.15</v>
      </c>
      <c r="Y58" s="57">
        <v>28736.66</v>
      </c>
      <c r="Z58" s="57">
        <f>ROUND(Додаток3!O54+Додаток3!U54+Додаток4!O53+Додаток4!U53,2)</f>
        <v>0</v>
      </c>
    </row>
    <row r="59" spans="1:102" s="8" customFormat="1" ht="21.75" customHeight="1">
      <c r="A59" s="252">
        <v>10</v>
      </c>
      <c r="B59" s="222" t="s">
        <v>118</v>
      </c>
      <c r="C59" s="14" t="s">
        <v>76</v>
      </c>
      <c r="D59" s="297">
        <f>H59+M59+R59</f>
        <v>241491.87</v>
      </c>
      <c r="E59" s="296"/>
      <c r="F59" s="297">
        <f>K59+P59+U59</f>
        <v>241491.87</v>
      </c>
      <c r="G59" s="305"/>
      <c r="H59" s="297">
        <f>'Додаток2 скор'!H61</f>
        <v>205308.92</v>
      </c>
      <c r="I59" s="296"/>
      <c r="J59" s="320">
        <f t="shared" si="0"/>
        <v>1</v>
      </c>
      <c r="K59" s="296">
        <f>'Додаток2 скор'!K61</f>
        <v>205308.92</v>
      </c>
      <c r="L59" s="305"/>
      <c r="M59" s="296">
        <f>'Додаток2 скор'!M61</f>
        <v>27244.13</v>
      </c>
      <c r="N59" s="296"/>
      <c r="O59" s="320">
        <f t="shared" si="1"/>
        <v>1</v>
      </c>
      <c r="P59" s="296">
        <f>'Додаток2 скор'!P61</f>
        <v>27244.13</v>
      </c>
      <c r="Q59" s="305"/>
      <c r="R59" s="296">
        <f>'Додаток2 скор'!R61</f>
        <v>8938.82</v>
      </c>
      <c r="S59" s="296"/>
      <c r="T59" s="320">
        <f t="shared" si="2"/>
        <v>1</v>
      </c>
      <c r="U59" s="296">
        <f>'Додаток2 скор'!U61</f>
        <v>8938.82</v>
      </c>
      <c r="V59" s="305"/>
    </row>
    <row r="60" spans="1:102" s="8" customFormat="1" ht="20.25" customHeight="1">
      <c r="A60" s="252">
        <v>11</v>
      </c>
      <c r="B60" s="222" t="s">
        <v>204</v>
      </c>
      <c r="C60" s="14"/>
      <c r="D60" s="296">
        <f>D51/D49*100</f>
        <v>1.42</v>
      </c>
      <c r="E60" s="296">
        <f t="shared" ref="E60:V60" si="9">E51/E49*100</f>
        <v>1.42</v>
      </c>
      <c r="F60" s="296">
        <f t="shared" si="9"/>
        <v>0</v>
      </c>
      <c r="G60" s="305">
        <f t="shared" si="9"/>
        <v>0</v>
      </c>
      <c r="H60" s="296">
        <f t="shared" si="9"/>
        <v>0</v>
      </c>
      <c r="I60" s="300">
        <f t="shared" si="9"/>
        <v>0</v>
      </c>
      <c r="J60" s="296"/>
      <c r="K60" s="296">
        <f>K51/K49*100</f>
        <v>0</v>
      </c>
      <c r="L60" s="305">
        <f>L51/L49*100</f>
        <v>0</v>
      </c>
      <c r="M60" s="296">
        <f t="shared" si="9"/>
        <v>4.42</v>
      </c>
      <c r="N60" s="296">
        <f t="shared" si="9"/>
        <v>4.42</v>
      </c>
      <c r="O60" s="320"/>
      <c r="P60" s="296">
        <f t="shared" si="9"/>
        <v>0</v>
      </c>
      <c r="Q60" s="305">
        <f t="shared" si="9"/>
        <v>0</v>
      </c>
      <c r="R60" s="296">
        <f t="shared" si="9"/>
        <v>4.42</v>
      </c>
      <c r="S60" s="296">
        <f t="shared" si="9"/>
        <v>4.42</v>
      </c>
      <c r="T60" s="320"/>
      <c r="U60" s="296">
        <f t="shared" si="9"/>
        <v>0</v>
      </c>
      <c r="V60" s="305">
        <f t="shared" si="9"/>
        <v>0</v>
      </c>
    </row>
    <row r="61" spans="1:102" s="164" customFormat="1" ht="23.25" hidden="1" customHeight="1">
      <c r="A61" s="252">
        <v>12</v>
      </c>
      <c r="B61" s="222" t="s">
        <v>272</v>
      </c>
      <c r="C61" s="14"/>
      <c r="D61" s="296"/>
      <c r="E61" s="296"/>
      <c r="F61" s="296"/>
      <c r="G61" s="305"/>
      <c r="H61" s="296"/>
      <c r="I61" s="301">
        <v>288.86</v>
      </c>
      <c r="J61" s="296"/>
      <c r="K61" s="296"/>
      <c r="L61" s="308"/>
      <c r="M61" s="296"/>
      <c r="N61" s="299">
        <v>808.48</v>
      </c>
      <c r="O61" s="320"/>
      <c r="P61" s="296"/>
      <c r="Q61" s="305"/>
      <c r="R61" s="296"/>
      <c r="S61" s="299">
        <v>901.94</v>
      </c>
      <c r="T61" s="296"/>
      <c r="U61" s="302"/>
      <c r="V61" s="305"/>
      <c r="W61" s="8"/>
    </row>
    <row r="62" spans="1:102" ht="16.5" customHeight="1">
      <c r="A62" s="1069"/>
      <c r="B62" s="1069"/>
      <c r="C62" s="1069"/>
      <c r="D62" s="1069"/>
      <c r="E62" s="1069"/>
      <c r="F62" s="1069"/>
      <c r="G62" s="1069"/>
      <c r="H62" s="1069"/>
      <c r="I62" s="1069"/>
      <c r="J62" s="1069"/>
      <c r="K62" s="1069"/>
      <c r="L62" s="1069"/>
      <c r="M62" s="1069"/>
      <c r="N62" s="1069"/>
      <c r="O62" s="1069"/>
      <c r="P62" s="164"/>
      <c r="Q62" s="164"/>
      <c r="R62" s="1069"/>
      <c r="S62" s="1069"/>
      <c r="T62" s="1069"/>
      <c r="U62" s="1069"/>
      <c r="V62" s="1069"/>
      <c r="W62" s="164"/>
    </row>
    <row r="63" spans="1:102" ht="20.25">
      <c r="A63" s="1069" t="s">
        <v>227</v>
      </c>
      <c r="B63" s="1069"/>
      <c r="C63" s="217"/>
      <c r="D63" s="217"/>
      <c r="E63" s="217"/>
      <c r="F63" s="217"/>
      <c r="G63" s="217"/>
      <c r="H63" s="1069" t="s">
        <v>228</v>
      </c>
      <c r="I63" s="1069"/>
      <c r="J63" s="1069"/>
      <c r="K63" s="1069"/>
      <c r="L63" s="1069"/>
      <c r="M63" s="217"/>
      <c r="N63" s="217"/>
      <c r="O63" s="217"/>
      <c r="P63" s="164"/>
      <c r="Q63" s="164"/>
      <c r="R63" s="1069" t="s">
        <v>228</v>
      </c>
      <c r="S63" s="1069"/>
      <c r="T63" s="1069"/>
      <c r="U63" s="1069"/>
      <c r="V63" s="1069"/>
    </row>
    <row r="64" spans="1:102" ht="15">
      <c r="A64" s="1070" t="s">
        <v>229</v>
      </c>
      <c r="B64" s="1070"/>
      <c r="H64" s="1070" t="s">
        <v>230</v>
      </c>
      <c r="I64" s="1070"/>
      <c r="J64" s="1070"/>
      <c r="K64" s="1070"/>
      <c r="L64" s="1070"/>
      <c r="R64" s="1070" t="s">
        <v>231</v>
      </c>
      <c r="S64" s="1070"/>
      <c r="T64" s="1070"/>
      <c r="U64" s="1070"/>
      <c r="V64" s="1070"/>
    </row>
    <row r="65" spans="10:15">
      <c r="J65" s="1"/>
      <c r="K65" s="1"/>
      <c r="L65" s="1"/>
      <c r="O65" s="1">
        <f>IF(M65=0,0,1)</f>
        <v>0</v>
      </c>
    </row>
  </sheetData>
  <sheetProtection formatCells="0" selectLockedCells="1" selectUnlockedCells="1"/>
  <customSheetViews>
    <customSheetView guid="{8839ED87-9C42-4CC2-A1AD-6EF9611832A1}" scale="70" showPageBreaks="1" printArea="1" hiddenRows="1" hiddenColumns="1" view="pageBreakPreview">
      <pane xSplit="2" ySplit="7" topLeftCell="D8" activePane="bottomRight" state="frozen"/>
      <selection pane="bottomRight" activeCell="N1" sqref="A1:V2"/>
      <pageMargins left="0.15748031496062992" right="0.15748031496062992" top="0" bottom="0" header="0" footer="0"/>
      <printOptions horizontalCentered="1"/>
      <pageSetup paperSize="9" scale="58" orientation="landscape" useFirstPageNumber="1" verticalDpi="300" r:id="rId1"/>
      <headerFooter alignWithMargins="0"/>
    </customSheetView>
    <customSheetView guid="{B233FDC7-B79B-43AD-9288-8B6C8ACB6ACB}" scale="55" showPageBreaks="1" printArea="1" view="pageBreakPreview">
      <pane xSplit="2" ySplit="11" topLeftCell="C12" activePane="bottomRight" state="frozen"/>
      <selection pane="bottomRight" activeCell="I22" sqref="I22"/>
      <pageMargins left="0.17" right="0.17" top="0.2" bottom="0.15748031496062992" header="0" footer="0"/>
      <pageSetup paperSize="9" scale="58" orientation="landscape" useFirstPageNumber="1" verticalDpi="300" r:id="rId2"/>
      <headerFooter alignWithMargins="0"/>
    </customSheetView>
    <customSheetView guid="{BF9F446D-D2F9-4EAA-BD71-B531E336462E}" scale="70" showPageBreaks="1" printArea="1" hiddenRows="1" hiddenColumns="1" view="pageBreakPreview">
      <pane xSplit="2" ySplit="7" topLeftCell="D35" activePane="bottomRight" state="frozen"/>
      <selection pane="bottomRight" activeCell="J52" sqref="J52"/>
      <pageMargins left="0.17" right="0.15748031496062992" top="0" bottom="0" header="0" footer="0"/>
      <pageSetup paperSize="9" scale="58" orientation="landscape" useFirstPageNumber="1" verticalDpi="300" r:id="rId3"/>
      <headerFooter alignWithMargins="0"/>
    </customSheetView>
  </customSheetViews>
  <mergeCells count="26">
    <mergeCell ref="A62:O62"/>
    <mergeCell ref="R62:V62"/>
    <mergeCell ref="R4:V4"/>
    <mergeCell ref="D5:E5"/>
    <mergeCell ref="F5:G5"/>
    <mergeCell ref="M5:N5"/>
    <mergeCell ref="P5:Q5"/>
    <mergeCell ref="R5:S5"/>
    <mergeCell ref="U5:V5"/>
    <mergeCell ref="H5:I5"/>
    <mergeCell ref="K5:L5"/>
    <mergeCell ref="H4:L4"/>
    <mergeCell ref="A2:V2"/>
    <mergeCell ref="B3:N3"/>
    <mergeCell ref="R3:S3"/>
    <mergeCell ref="U3:V3"/>
    <mergeCell ref="A4:A6"/>
    <mergeCell ref="B4:B6"/>
    <mergeCell ref="D4:G4"/>
    <mergeCell ref="M4:Q4"/>
    <mergeCell ref="A63:B63"/>
    <mergeCell ref="H63:L63"/>
    <mergeCell ref="R63:V63"/>
    <mergeCell ref="A64:B64"/>
    <mergeCell ref="H64:L64"/>
    <mergeCell ref="R64:V64"/>
  </mergeCells>
  <printOptions horizontalCentered="1"/>
  <pageMargins left="0.15748031496062992" right="0.15748031496062992" top="0" bottom="0" header="0" footer="0"/>
  <pageSetup paperSize="9" scale="55" orientation="landscape" useFirstPageNumber="1" verticalDpi="300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39"/>
  </sheetPr>
  <dimension ref="A1:DI83"/>
  <sheetViews>
    <sheetView zoomScale="70" zoomScaleNormal="70" zoomScaleSheetLayoutView="69" workbookViewId="0">
      <pane xSplit="2" ySplit="7" topLeftCell="E65" activePane="bottomRight" state="frozen"/>
      <selection activeCell="C48" sqref="C48:J48"/>
      <selection pane="topRight" activeCell="C48" sqref="C48:J48"/>
      <selection pane="bottomLeft" activeCell="C48" sqref="C48:J48"/>
      <selection pane="bottomRight" activeCell="B59" sqref="B59"/>
    </sheetView>
  </sheetViews>
  <sheetFormatPr defaultColWidth="11.5703125" defaultRowHeight="12.75"/>
  <cols>
    <col min="1" max="1" width="8.140625" style="1" hidden="1" customWidth="1"/>
    <col min="2" max="2" width="44.140625" style="1" customWidth="1"/>
    <col min="3" max="3" width="13.7109375" style="1" hidden="1" customWidth="1"/>
    <col min="4" max="4" width="13.140625" style="1" hidden="1" customWidth="1"/>
    <col min="5" max="5" width="12.140625" style="1" customWidth="1"/>
    <col min="6" max="6" width="11" style="1" customWidth="1"/>
    <col min="7" max="7" width="12.85546875" style="1" hidden="1" customWidth="1"/>
    <col min="8" max="8" width="12.28515625" style="1" hidden="1" customWidth="1"/>
    <col min="9" max="9" width="13" style="1" customWidth="1"/>
    <col min="10" max="10" width="10.7109375" style="1" customWidth="1"/>
    <col min="11" max="11" width="12.7109375" style="1" customWidth="1"/>
    <col min="12" max="12" width="11.28515625" style="1" customWidth="1"/>
    <col min="13" max="14" width="12.85546875" style="1" hidden="1" customWidth="1"/>
    <col min="15" max="15" width="12.85546875" style="1" customWidth="1"/>
    <col min="16" max="16" width="11.5703125" style="1" customWidth="1"/>
    <col min="17" max="17" width="13.5703125" style="1" customWidth="1"/>
    <col min="18" max="18" width="11.140625" style="1" customWidth="1"/>
    <col min="19" max="19" width="12.140625" style="1" hidden="1" customWidth="1"/>
    <col min="20" max="20" width="11.85546875" style="1" hidden="1" customWidth="1"/>
    <col min="21" max="21" width="14.42578125" style="1" customWidth="1"/>
    <col min="22" max="22" width="13.140625" style="1" customWidth="1"/>
    <col min="23" max="23" width="12.85546875" style="1" customWidth="1"/>
    <col min="24" max="24" width="11.42578125" style="1" customWidth="1"/>
    <col min="25" max="25" width="10.140625" style="1" hidden="1" customWidth="1"/>
    <col min="26" max="26" width="9.5703125" style="1" hidden="1" customWidth="1"/>
    <col min="27" max="27" width="15.85546875" style="1" customWidth="1"/>
    <col min="28" max="28" width="11.28515625" style="1" customWidth="1"/>
    <col min="29" max="29" width="10.42578125" style="1" customWidth="1"/>
    <col min="30" max="30" width="11.5703125" style="984" customWidth="1"/>
    <col min="31" max="31" width="9.140625" style="1" customWidth="1"/>
    <col min="32" max="32" width="16.85546875" style="1" customWidth="1"/>
    <col min="33" max="33" width="17.28515625" style="1" customWidth="1"/>
    <col min="34" max="34" width="16.42578125" style="1" customWidth="1"/>
    <col min="35" max="35" width="16" style="1" customWidth="1"/>
    <col min="36" max="36" width="15.42578125" style="1" customWidth="1"/>
    <col min="37" max="37" width="16.85546875" style="1" customWidth="1"/>
    <col min="38" max="38" width="18.140625" style="1" customWidth="1"/>
    <col min="39" max="16384" width="11.5703125" style="1"/>
  </cols>
  <sheetData>
    <row r="1" spans="1:113" s="810" customFormat="1" ht="21.75" customHeight="1">
      <c r="A1" s="1084" t="s">
        <v>418</v>
      </c>
      <c r="B1" s="1084"/>
      <c r="C1" s="1084"/>
      <c r="D1" s="1084"/>
      <c r="E1" s="1084"/>
      <c r="F1" s="1084"/>
      <c r="G1" s="1084"/>
      <c r="H1" s="1084"/>
      <c r="I1" s="1084"/>
      <c r="J1" s="1084"/>
      <c r="K1" s="1084"/>
      <c r="L1" s="1084"/>
      <c r="M1" s="1084"/>
      <c r="N1" s="1084"/>
      <c r="O1" s="1084"/>
      <c r="P1" s="1084"/>
      <c r="Q1" s="887"/>
      <c r="R1" s="887"/>
      <c r="S1" s="887"/>
      <c r="T1" s="887"/>
      <c r="U1" s="887"/>
      <c r="V1" s="887"/>
      <c r="W1" s="887"/>
      <c r="X1" s="887"/>
      <c r="Y1" s="807"/>
      <c r="Z1" s="807"/>
      <c r="AC1" s="674"/>
      <c r="AD1" s="983"/>
    </row>
    <row r="2" spans="1:113" s="810" customFormat="1" ht="27" customHeight="1">
      <c r="A2" s="1085" t="s">
        <v>406</v>
      </c>
      <c r="B2" s="1085"/>
      <c r="C2" s="1085"/>
      <c r="D2" s="1085"/>
      <c r="E2" s="1085"/>
      <c r="F2" s="1085"/>
      <c r="G2" s="1085"/>
      <c r="H2" s="1085"/>
      <c r="I2" s="1085"/>
      <c r="J2" s="1085"/>
      <c r="K2" s="1085"/>
      <c r="L2" s="1085"/>
      <c r="M2" s="1085"/>
      <c r="N2" s="1085"/>
      <c r="O2" s="1085"/>
      <c r="P2" s="1085"/>
      <c r="Q2" s="888"/>
      <c r="R2" s="888"/>
      <c r="S2" s="888"/>
      <c r="T2" s="888"/>
      <c r="U2" s="888"/>
      <c r="V2" s="888"/>
      <c r="W2" s="888"/>
      <c r="X2" s="888"/>
      <c r="Y2" s="808"/>
      <c r="Z2" s="808"/>
      <c r="AC2" s="808"/>
      <c r="AD2" s="983"/>
    </row>
    <row r="3" spans="1:113" ht="21.75" customHeight="1" thickBot="1">
      <c r="A3" s="4"/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633"/>
      <c r="R3" s="633"/>
      <c r="S3" s="633"/>
      <c r="T3" s="633"/>
      <c r="X3" s="736" t="s">
        <v>24</v>
      </c>
      <c r="Y3" s="736"/>
      <c r="Z3" s="736"/>
      <c r="AC3" s="133"/>
    </row>
    <row r="4" spans="1:113" ht="47.25" customHeight="1">
      <c r="A4" s="663"/>
      <c r="B4" s="889"/>
      <c r="C4" s="1066" t="s">
        <v>420</v>
      </c>
      <c r="D4" s="1067"/>
      <c r="E4" s="1067"/>
      <c r="F4" s="1068"/>
      <c r="G4" s="1080" t="s">
        <v>126</v>
      </c>
      <c r="H4" s="1081"/>
      <c r="I4" s="1081"/>
      <c r="J4" s="1081"/>
      <c r="K4" s="1081"/>
      <c r="L4" s="1082"/>
      <c r="M4" s="1062" t="s">
        <v>388</v>
      </c>
      <c r="N4" s="1063"/>
      <c r="O4" s="1063"/>
      <c r="P4" s="1063"/>
      <c r="Q4" s="1063"/>
      <c r="R4" s="1064"/>
      <c r="S4" s="1062" t="s">
        <v>157</v>
      </c>
      <c r="T4" s="1063"/>
      <c r="U4" s="1063"/>
      <c r="V4" s="1063"/>
      <c r="W4" s="1063"/>
      <c r="X4" s="1064"/>
      <c r="Y4" s="1062" t="s">
        <v>419</v>
      </c>
      <c r="Z4" s="1063"/>
      <c r="AA4" s="1063"/>
      <c r="AB4" s="1063"/>
      <c r="AC4" s="1064"/>
    </row>
    <row r="5" spans="1:113" ht="90" customHeight="1">
      <c r="A5" s="1059" t="s">
        <v>171</v>
      </c>
      <c r="B5" s="1059" t="s">
        <v>4</v>
      </c>
      <c r="C5" s="760" t="s">
        <v>413</v>
      </c>
      <c r="D5" s="751" t="s">
        <v>415</v>
      </c>
      <c r="E5" s="1054" t="s">
        <v>414</v>
      </c>
      <c r="F5" s="1079"/>
      <c r="G5" s="760" t="s">
        <v>413</v>
      </c>
      <c r="H5" s="751" t="s">
        <v>415</v>
      </c>
      <c r="I5" s="1054" t="s">
        <v>408</v>
      </c>
      <c r="J5" s="1054"/>
      <c r="K5" s="1054" t="s">
        <v>414</v>
      </c>
      <c r="L5" s="1079"/>
      <c r="M5" s="760" t="s">
        <v>413</v>
      </c>
      <c r="N5" s="751" t="s">
        <v>415</v>
      </c>
      <c r="O5" s="1054" t="s">
        <v>407</v>
      </c>
      <c r="P5" s="1054"/>
      <c r="Q5" s="1054" t="s">
        <v>414</v>
      </c>
      <c r="R5" s="1079"/>
      <c r="S5" s="760" t="s">
        <v>413</v>
      </c>
      <c r="T5" s="751" t="s">
        <v>415</v>
      </c>
      <c r="U5" s="1054" t="s">
        <v>409</v>
      </c>
      <c r="V5" s="1054"/>
      <c r="W5" s="1054" t="s">
        <v>414</v>
      </c>
      <c r="X5" s="1079"/>
      <c r="Y5" s="760" t="s">
        <v>413</v>
      </c>
      <c r="Z5" s="751" t="s">
        <v>415</v>
      </c>
      <c r="AA5" s="52" t="s">
        <v>389</v>
      </c>
      <c r="AB5" s="1054" t="str">
        <f>K5</f>
        <v xml:space="preserve"> плановий період 2017 рік            </v>
      </c>
      <c r="AC5" s="1079"/>
      <c r="AD5" s="98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spans="1:113" ht="28.5" customHeight="1" thickBot="1">
      <c r="A6" s="1060"/>
      <c r="B6" s="1059"/>
      <c r="C6" s="780" t="s">
        <v>170</v>
      </c>
      <c r="D6" s="275" t="s">
        <v>170</v>
      </c>
      <c r="E6" s="275" t="s">
        <v>170</v>
      </c>
      <c r="F6" s="616" t="s">
        <v>77</v>
      </c>
      <c r="G6" s="780" t="s">
        <v>170</v>
      </c>
      <c r="H6" s="275" t="s">
        <v>170</v>
      </c>
      <c r="I6" s="275" t="s">
        <v>170</v>
      </c>
      <c r="J6" s="275" t="s">
        <v>392</v>
      </c>
      <c r="K6" s="275" t="s">
        <v>170</v>
      </c>
      <c r="L6" s="616" t="s">
        <v>392</v>
      </c>
      <c r="M6" s="662" t="s">
        <v>170</v>
      </c>
      <c r="N6" s="766" t="s">
        <v>170</v>
      </c>
      <c r="O6" s="766" t="s">
        <v>170</v>
      </c>
      <c r="P6" s="766" t="s">
        <v>392</v>
      </c>
      <c r="Q6" s="766" t="s">
        <v>170</v>
      </c>
      <c r="R6" s="617" t="s">
        <v>392</v>
      </c>
      <c r="S6" s="662" t="s">
        <v>170</v>
      </c>
      <c r="T6" s="766" t="s">
        <v>170</v>
      </c>
      <c r="U6" s="766" t="s">
        <v>170</v>
      </c>
      <c r="V6" s="766" t="s">
        <v>392</v>
      </c>
      <c r="W6" s="766" t="s">
        <v>170</v>
      </c>
      <c r="X6" s="617" t="s">
        <v>392</v>
      </c>
      <c r="Y6" s="662" t="s">
        <v>170</v>
      </c>
      <c r="Z6" s="766" t="s">
        <v>170</v>
      </c>
      <c r="AA6" s="766" t="s">
        <v>77</v>
      </c>
      <c r="AB6" s="766" t="s">
        <v>170</v>
      </c>
      <c r="AC6" s="617" t="s">
        <v>77</v>
      </c>
      <c r="AD6" s="98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</row>
    <row r="7" spans="1:113" ht="18" customHeight="1" thickBot="1">
      <c r="A7" s="665">
        <v>1</v>
      </c>
      <c r="B7" s="890">
        <v>2</v>
      </c>
      <c r="C7" s="669">
        <v>3</v>
      </c>
      <c r="D7" s="782">
        <v>4</v>
      </c>
      <c r="E7" s="783">
        <v>5</v>
      </c>
      <c r="F7" s="667">
        <v>6</v>
      </c>
      <c r="G7" s="672">
        <v>7</v>
      </c>
      <c r="H7" s="783">
        <v>8</v>
      </c>
      <c r="I7" s="783">
        <v>9</v>
      </c>
      <c r="J7" s="783">
        <v>10</v>
      </c>
      <c r="K7" s="783">
        <v>11</v>
      </c>
      <c r="L7" s="667">
        <v>12</v>
      </c>
      <c r="M7" s="672">
        <v>13</v>
      </c>
      <c r="N7" s="783">
        <v>14</v>
      </c>
      <c r="O7" s="782">
        <v>15</v>
      </c>
      <c r="P7" s="782">
        <v>16</v>
      </c>
      <c r="Q7" s="782">
        <v>17</v>
      </c>
      <c r="R7" s="668">
        <v>18</v>
      </c>
      <c r="S7" s="669">
        <v>19</v>
      </c>
      <c r="T7" s="782">
        <v>20</v>
      </c>
      <c r="U7" s="782">
        <v>21</v>
      </c>
      <c r="V7" s="782">
        <v>22</v>
      </c>
      <c r="W7" s="782">
        <v>23</v>
      </c>
      <c r="X7" s="668">
        <v>24</v>
      </c>
      <c r="Y7" s="669">
        <v>25</v>
      </c>
      <c r="Z7" s="782">
        <v>26</v>
      </c>
      <c r="AA7" s="782">
        <v>27</v>
      </c>
      <c r="AB7" s="782">
        <v>28</v>
      </c>
      <c r="AC7" s="668">
        <v>29</v>
      </c>
      <c r="AD7" s="98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</row>
    <row r="8" spans="1:113" s="285" customFormat="1" ht="21.95" customHeight="1">
      <c r="A8" s="731">
        <v>1</v>
      </c>
      <c r="B8" s="891" t="s">
        <v>29</v>
      </c>
      <c r="C8" s="823">
        <f>C9+C30</f>
        <v>101607.72</v>
      </c>
      <c r="D8" s="824">
        <f ca="1">D9+D30</f>
        <v>164622.13</v>
      </c>
      <c r="E8" s="825">
        <f>K8+Q8+W8+AB8</f>
        <v>276899.27</v>
      </c>
      <c r="F8" s="826">
        <f t="shared" ref="F8:F29" si="0">E8/$E$70*1000</f>
        <v>1168.98</v>
      </c>
      <c r="G8" s="999">
        <f t="shared" ref="G8:AC8" ca="1" si="1">G9+G30</f>
        <v>92416.43</v>
      </c>
      <c r="H8" s="781">
        <f t="shared" ca="1" si="1"/>
        <v>128641.05</v>
      </c>
      <c r="I8" s="781">
        <f t="shared" si="1"/>
        <v>226313.91</v>
      </c>
      <c r="J8" s="781">
        <f>J9+J30+0.01</f>
        <v>1102.31</v>
      </c>
      <c r="K8" s="781">
        <f t="shared" si="1"/>
        <v>223509.86</v>
      </c>
      <c r="L8" s="1000">
        <f t="shared" si="1"/>
        <v>1098.8900000000001</v>
      </c>
      <c r="M8" s="823">
        <f t="shared" ca="1" si="1"/>
        <v>33632.199999999997</v>
      </c>
      <c r="N8" s="875">
        <f t="shared" ca="1" si="1"/>
        <v>30751.91</v>
      </c>
      <c r="O8" s="823">
        <f t="shared" si="1"/>
        <v>30156.48</v>
      </c>
      <c r="P8" s="824">
        <f t="shared" si="1"/>
        <v>1106.8900000000001</v>
      </c>
      <c r="Q8" s="824">
        <f t="shared" si="1"/>
        <v>42316.98</v>
      </c>
      <c r="R8" s="827">
        <f t="shared" si="1"/>
        <v>1596.43</v>
      </c>
      <c r="S8" s="823">
        <f t="shared" ca="1" si="1"/>
        <v>5904.66</v>
      </c>
      <c r="T8" s="824">
        <f t="shared" ca="1" si="1"/>
        <v>5210.0600000000004</v>
      </c>
      <c r="U8" s="824">
        <f t="shared" si="1"/>
        <v>12992.65</v>
      </c>
      <c r="V8" s="824">
        <f t="shared" si="1"/>
        <v>1453.51</v>
      </c>
      <c r="W8" s="824">
        <f t="shared" si="1"/>
        <v>11029.52</v>
      </c>
      <c r="X8" s="827">
        <f t="shared" si="1"/>
        <v>1596.43</v>
      </c>
      <c r="Y8" s="823">
        <f t="shared" ca="1" si="1"/>
        <v>35.71</v>
      </c>
      <c r="Z8" s="824">
        <f t="shared" ca="1" si="1"/>
        <v>27.48</v>
      </c>
      <c r="AA8" s="824">
        <f t="shared" si="1"/>
        <v>724.83</v>
      </c>
      <c r="AB8" s="824">
        <f t="shared" si="1"/>
        <v>42.91</v>
      </c>
      <c r="AC8" s="827">
        <f t="shared" si="1"/>
        <v>705.56</v>
      </c>
      <c r="AD8" s="986">
        <f>K8+Q8+W8+AB8-E8</f>
        <v>0</v>
      </c>
      <c r="AE8" s="284"/>
      <c r="AF8" s="284"/>
      <c r="AG8" s="284"/>
      <c r="AH8" s="284"/>
      <c r="AI8" s="284"/>
    </row>
    <row r="9" spans="1:113" s="285" customFormat="1" ht="21" customHeight="1">
      <c r="A9" s="732"/>
      <c r="B9" s="891" t="s">
        <v>271</v>
      </c>
      <c r="C9" s="643">
        <f>C10+C23+C26</f>
        <v>101088.04</v>
      </c>
      <c r="D9" s="296">
        <f>D10+D23+D26</f>
        <v>164474.12</v>
      </c>
      <c r="E9" s="372">
        <f>K9+Q9+W9+AB9</f>
        <v>276191.34999999998</v>
      </c>
      <c r="F9" s="405">
        <f t="shared" si="0"/>
        <v>1165.99</v>
      </c>
      <c r="G9" s="643">
        <f t="shared" ref="G9:L9" si="2">G10+G23+G26</f>
        <v>66434.710000000006</v>
      </c>
      <c r="H9" s="296">
        <f t="shared" si="2"/>
        <v>128514.52</v>
      </c>
      <c r="I9" s="296">
        <f t="shared" si="2"/>
        <v>226065.84</v>
      </c>
      <c r="J9" s="296">
        <f t="shared" si="2"/>
        <v>1101.0899999999999</v>
      </c>
      <c r="K9" s="296">
        <f t="shared" si="2"/>
        <v>222901.98</v>
      </c>
      <c r="L9" s="642">
        <f t="shared" si="2"/>
        <v>1095.9100000000001</v>
      </c>
      <c r="M9" s="643">
        <f t="shared" ref="M9:Z9" si="3">M10+M23+M26</f>
        <v>29413.35</v>
      </c>
      <c r="N9" s="876">
        <f t="shared" si="3"/>
        <v>30733.3</v>
      </c>
      <c r="O9" s="643">
        <f t="shared" si="3"/>
        <v>30123.56</v>
      </c>
      <c r="P9" s="642">
        <f t="shared" si="3"/>
        <v>1105.68</v>
      </c>
      <c r="Q9" s="296">
        <f t="shared" si="3"/>
        <v>42237.75</v>
      </c>
      <c r="R9" s="642">
        <f t="shared" si="3"/>
        <v>1593.45</v>
      </c>
      <c r="S9" s="643">
        <f t="shared" si="3"/>
        <v>5215.57</v>
      </c>
      <c r="T9" s="642">
        <f t="shared" si="3"/>
        <v>5207.1899999999996</v>
      </c>
      <c r="U9" s="296">
        <f t="shared" si="3"/>
        <v>12981.85</v>
      </c>
      <c r="V9" s="876">
        <f t="shared" si="3"/>
        <v>1452.3</v>
      </c>
      <c r="W9" s="296">
        <f t="shared" si="3"/>
        <v>11008.89</v>
      </c>
      <c r="X9" s="642">
        <f t="shared" si="3"/>
        <v>1593.45</v>
      </c>
      <c r="Y9" s="643">
        <f t="shared" si="3"/>
        <v>28.66</v>
      </c>
      <c r="Z9" s="642">
        <f t="shared" si="3"/>
        <v>27.44</v>
      </c>
      <c r="AA9" s="296">
        <f>AA10+AA23+AA26</f>
        <v>723.62</v>
      </c>
      <c r="AB9" s="296">
        <f>AB10+AB23+AB26</f>
        <v>42.73</v>
      </c>
      <c r="AC9" s="642">
        <f>AC10+AC23+AC26</f>
        <v>702.58</v>
      </c>
      <c r="AD9" s="986">
        <f t="shared" ref="AD9:AD68" si="4">K9+Q9+W9+AB9-E9</f>
        <v>0</v>
      </c>
      <c r="AE9" s="412"/>
      <c r="AF9" s="412"/>
      <c r="AG9" s="284"/>
      <c r="AH9" s="284"/>
      <c r="AI9" s="284"/>
    </row>
    <row r="10" spans="1:113" s="285" customFormat="1" ht="21.95" customHeight="1">
      <c r="A10" s="732" t="s">
        <v>31</v>
      </c>
      <c r="B10" s="891" t="s">
        <v>32</v>
      </c>
      <c r="C10" s="643">
        <f>SUM(C11:C16)</f>
        <v>84194.45</v>
      </c>
      <c r="D10" s="296">
        <f>SUM(D11:D16)</f>
        <v>147822.28</v>
      </c>
      <c r="E10" s="372">
        <f>K10+Q10+W10+AB10</f>
        <v>255542.87</v>
      </c>
      <c r="F10" s="405">
        <f t="shared" si="0"/>
        <v>1078.82</v>
      </c>
      <c r="G10" s="643">
        <f t="shared" ref="G10:L10" si="5">SUM(G11:G16)</f>
        <v>52225.279999999999</v>
      </c>
      <c r="H10" s="296">
        <f t="shared" si="5"/>
        <v>114279.92</v>
      </c>
      <c r="I10" s="296">
        <f t="shared" si="5"/>
        <v>208236.29</v>
      </c>
      <c r="J10" s="296">
        <f t="shared" si="5"/>
        <v>1014.25</v>
      </c>
      <c r="K10" s="296">
        <f t="shared" si="5"/>
        <v>205171.7</v>
      </c>
      <c r="L10" s="642">
        <f t="shared" si="5"/>
        <v>1008.73</v>
      </c>
      <c r="M10" s="643">
        <f t="shared" ref="M10:Z10" si="6">SUM(M11:M16)</f>
        <v>27106.05</v>
      </c>
      <c r="N10" s="876">
        <f t="shared" si="6"/>
        <v>28637.99</v>
      </c>
      <c r="O10" s="643">
        <f t="shared" si="6"/>
        <v>27757.61</v>
      </c>
      <c r="P10" s="642">
        <f t="shared" si="6"/>
        <v>1018.84</v>
      </c>
      <c r="Q10" s="296">
        <f t="shared" si="6"/>
        <v>39927.120000000003</v>
      </c>
      <c r="R10" s="642">
        <f t="shared" si="6"/>
        <v>1506.28</v>
      </c>
      <c r="S10" s="643">
        <f t="shared" si="6"/>
        <v>4838.71</v>
      </c>
      <c r="T10" s="642">
        <f t="shared" si="6"/>
        <v>4885.26</v>
      </c>
      <c r="U10" s="296">
        <f t="shared" si="6"/>
        <v>12205.58</v>
      </c>
      <c r="V10" s="876">
        <f>SUM(V11:V16)+0.01</f>
        <v>1365.46</v>
      </c>
      <c r="W10" s="296">
        <f t="shared" si="6"/>
        <v>10406.65</v>
      </c>
      <c r="X10" s="642">
        <f t="shared" si="6"/>
        <v>1506.28</v>
      </c>
      <c r="Y10" s="643">
        <f t="shared" si="6"/>
        <v>24.79</v>
      </c>
      <c r="Z10" s="642">
        <f t="shared" si="6"/>
        <v>23.69</v>
      </c>
      <c r="AA10" s="296">
        <f>SUM(AA11:AA16)</f>
        <v>636.77</v>
      </c>
      <c r="AB10" s="296">
        <f>SUM(AB11:AB16)</f>
        <v>37.4</v>
      </c>
      <c r="AC10" s="642">
        <f>SUM(AC11:AC16)</f>
        <v>615.41</v>
      </c>
      <c r="AD10" s="986">
        <f t="shared" si="4"/>
        <v>0</v>
      </c>
    </row>
    <row r="11" spans="1:113" s="678" customFormat="1" ht="29.25" customHeight="1">
      <c r="A11" s="885" t="s">
        <v>33</v>
      </c>
      <c r="B11" s="892" t="s">
        <v>205</v>
      </c>
      <c r="C11" s="394">
        <f>G11+M11+S11+Y11</f>
        <v>66607.66</v>
      </c>
      <c r="D11" s="375">
        <f>H11+N11+T11+Z11</f>
        <v>127542.31</v>
      </c>
      <c r="E11" s="373">
        <f>K11+Q11+W11+AB11</f>
        <v>230942.8</v>
      </c>
      <c r="F11" s="742">
        <f t="shared" si="0"/>
        <v>974.97</v>
      </c>
      <c r="G11" s="743">
        <v>37434.01</v>
      </c>
      <c r="H11" s="758">
        <v>96943.86</v>
      </c>
      <c r="I11" s="375">
        <v>188000.08</v>
      </c>
      <c r="J11" s="758">
        <f t="shared" ref="J11:J25" si="7">I11/$I$70*1000</f>
        <v>915.69</v>
      </c>
      <c r="K11" s="758">
        <v>184048.29</v>
      </c>
      <c r="L11" s="742">
        <f t="shared" ref="L11:L29" si="8">K11/$K$70*1000</f>
        <v>904.88</v>
      </c>
      <c r="M11" s="743">
        <v>24705.29</v>
      </c>
      <c r="N11" s="881">
        <v>26086.16</v>
      </c>
      <c r="O11" s="886">
        <v>24947.279999999999</v>
      </c>
      <c r="P11" s="375">
        <f t="shared" ref="P11:P25" si="9">O11/$O$70*1000</f>
        <v>915.69</v>
      </c>
      <c r="Q11" s="758">
        <v>37174.28</v>
      </c>
      <c r="R11" s="742">
        <f t="shared" ref="R11:R25" si="10">Q11/$Q$70*1000</f>
        <v>1402.43</v>
      </c>
      <c r="S11" s="743">
        <v>4447.58</v>
      </c>
      <c r="T11" s="758">
        <v>4493.18</v>
      </c>
      <c r="U11" s="375">
        <v>11283.51</v>
      </c>
      <c r="V11" s="375">
        <f t="shared" ref="V11:V25" si="11">U11/$U$70*1000</f>
        <v>1262.3</v>
      </c>
      <c r="W11" s="758">
        <v>9689.15</v>
      </c>
      <c r="X11" s="395">
        <f t="shared" ref="X11:X29" si="12">W11/$W$70*1000</f>
        <v>1402.43</v>
      </c>
      <c r="Y11" s="743">
        <v>20.78</v>
      </c>
      <c r="Z11" s="758">
        <v>19.11</v>
      </c>
      <c r="AA11" s="373">
        <v>533.62</v>
      </c>
      <c r="AB11" s="373">
        <v>31.08</v>
      </c>
      <c r="AC11" s="395">
        <f>AB11/$AB$70*1000+0.63</f>
        <v>511.56</v>
      </c>
      <c r="AD11" s="986">
        <f t="shared" si="4"/>
        <v>0</v>
      </c>
      <c r="AG11" s="679"/>
      <c r="AH11" s="679"/>
      <c r="AI11" s="679"/>
      <c r="AJ11" s="679"/>
      <c r="AK11" s="679"/>
      <c r="AL11" s="679"/>
      <c r="AM11" s="679"/>
      <c r="AN11" s="679"/>
      <c r="AO11" s="679"/>
      <c r="AP11" s="679"/>
      <c r="AQ11" s="679"/>
      <c r="AR11" s="679"/>
      <c r="AS11" s="679"/>
      <c r="AT11" s="679"/>
      <c r="AU11" s="679"/>
      <c r="AV11" s="679"/>
      <c r="AW11" s="679"/>
      <c r="AX11" s="679"/>
      <c r="AY11" s="679"/>
      <c r="AZ11" s="679"/>
      <c r="BA11" s="679"/>
      <c r="BB11" s="679"/>
      <c r="BC11" s="679"/>
      <c r="BD11" s="679"/>
      <c r="BE11" s="679"/>
      <c r="BF11" s="679"/>
      <c r="BG11" s="679"/>
      <c r="BH11" s="679"/>
      <c r="BI11" s="679"/>
      <c r="BJ11" s="679"/>
      <c r="BK11" s="679"/>
      <c r="BL11" s="679"/>
      <c r="BM11" s="679"/>
      <c r="BN11" s="679"/>
      <c r="BO11" s="679"/>
      <c r="BP11" s="679"/>
      <c r="BQ11" s="679"/>
      <c r="BR11" s="679"/>
      <c r="BS11" s="679"/>
      <c r="BT11" s="679"/>
      <c r="BU11" s="679"/>
      <c r="BV11" s="679"/>
      <c r="BW11" s="679"/>
      <c r="BX11" s="679"/>
      <c r="BY11" s="679"/>
      <c r="BZ11" s="679"/>
      <c r="CA11" s="679"/>
      <c r="CB11" s="679"/>
      <c r="CC11" s="679"/>
      <c r="CD11" s="679"/>
      <c r="CE11" s="679"/>
      <c r="CF11" s="679"/>
      <c r="CG11" s="679"/>
      <c r="CH11" s="679"/>
      <c r="CI11" s="679"/>
      <c r="CJ11" s="679"/>
      <c r="CK11" s="679"/>
      <c r="CL11" s="679"/>
      <c r="CM11" s="679"/>
      <c r="CN11" s="679"/>
      <c r="CO11" s="679"/>
      <c r="CP11" s="679"/>
      <c r="CQ11" s="679"/>
      <c r="CR11" s="679"/>
      <c r="CS11" s="679"/>
      <c r="CT11" s="679"/>
      <c r="CU11" s="679"/>
      <c r="CV11" s="679"/>
      <c r="CW11" s="679"/>
      <c r="CX11" s="679"/>
      <c r="CY11" s="679"/>
      <c r="CZ11" s="679"/>
      <c r="DA11" s="679"/>
      <c r="DB11" s="679"/>
      <c r="DC11" s="679"/>
      <c r="DD11" s="679"/>
      <c r="DE11" s="679"/>
    </row>
    <row r="12" spans="1:113" s="288" customFormat="1" ht="21.95" customHeight="1">
      <c r="A12" s="683" t="s">
        <v>34</v>
      </c>
      <c r="B12" s="893" t="s">
        <v>212</v>
      </c>
      <c r="C12" s="407">
        <v>15402.24</v>
      </c>
      <c r="D12" s="820">
        <v>18198.93</v>
      </c>
      <c r="E12" s="373">
        <v>22394.79</v>
      </c>
      <c r="F12" s="408">
        <f t="shared" si="0"/>
        <v>94.54</v>
      </c>
      <c r="G12" s="410">
        <f>C12/$C$70*$G$70-1.17</f>
        <v>12953.86</v>
      </c>
      <c r="H12" s="756">
        <f t="shared" ref="H12:H21" si="13">D12/$D$70*$H$70</f>
        <v>15557.11</v>
      </c>
      <c r="I12" s="373">
        <v>18157.919999999998</v>
      </c>
      <c r="J12" s="756">
        <f t="shared" si="7"/>
        <v>88.44</v>
      </c>
      <c r="K12" s="756">
        <f>$E12/$E$70*$K$70</f>
        <v>19229.79</v>
      </c>
      <c r="L12" s="742">
        <f t="shared" si="8"/>
        <v>94.54</v>
      </c>
      <c r="M12" s="410">
        <f>C12/$C$70*$M$70-1.17</f>
        <v>2102.44</v>
      </c>
      <c r="N12" s="877">
        <f t="shared" ref="N12:N21" si="14">D12/$D$70*$N$70</f>
        <v>2289.9699999999998</v>
      </c>
      <c r="O12" s="407">
        <v>2534.5500000000002</v>
      </c>
      <c r="P12" s="373">
        <f t="shared" si="9"/>
        <v>93.03</v>
      </c>
      <c r="Q12" s="756">
        <f>$E12/$E$70*$Q$70</f>
        <v>2506.06</v>
      </c>
      <c r="R12" s="408">
        <f t="shared" si="10"/>
        <v>94.54</v>
      </c>
      <c r="S12" s="410">
        <f>$C12/$C$70*$S$70-1.17</f>
        <v>342.43</v>
      </c>
      <c r="T12" s="756">
        <f t="shared" ref="T12:T22" si="15">$D12/$D$70*$T$70</f>
        <v>351.85</v>
      </c>
      <c r="U12" s="373">
        <v>831.59</v>
      </c>
      <c r="V12" s="373">
        <f t="shared" si="11"/>
        <v>93.03</v>
      </c>
      <c r="W12" s="756">
        <f t="shared" ref="W12:W22" si="16">$E12/$E$70*$W$70</f>
        <v>653.17999999999995</v>
      </c>
      <c r="X12" s="395">
        <f t="shared" si="12"/>
        <v>94.54</v>
      </c>
      <c r="Y12" s="410">
        <f>$C12/$C$70*$Y$70-0.01</f>
        <v>3.51</v>
      </c>
      <c r="Z12" s="756">
        <f t="shared" ref="Z12:Z22" si="17">$D12/$D$70*$Z$70</f>
        <v>4.1100000000000003</v>
      </c>
      <c r="AA12" s="373">
        <v>93.03</v>
      </c>
      <c r="AB12" s="373">
        <f>$E12/$E$70*$AB$70+0.01</f>
        <v>5.76</v>
      </c>
      <c r="AC12" s="395">
        <f>AB12/$AB$70*1000-0.15</f>
        <v>94.54</v>
      </c>
      <c r="AD12" s="986">
        <f t="shared" si="4"/>
        <v>0</v>
      </c>
      <c r="AE12" s="413"/>
      <c r="AF12" s="413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287"/>
      <c r="BQ12" s="287"/>
      <c r="BR12" s="287"/>
      <c r="BS12" s="287"/>
      <c r="BT12" s="287"/>
      <c r="BU12" s="287"/>
      <c r="BV12" s="287"/>
      <c r="BW12" s="287"/>
      <c r="BX12" s="287"/>
      <c r="BY12" s="287"/>
      <c r="BZ12" s="287"/>
      <c r="CA12" s="287"/>
      <c r="CB12" s="287"/>
      <c r="CC12" s="287"/>
      <c r="CD12" s="287"/>
      <c r="CE12" s="287"/>
      <c r="CF12" s="287"/>
      <c r="CG12" s="287"/>
      <c r="CH12" s="287"/>
      <c r="CI12" s="287"/>
      <c r="CJ12" s="287"/>
      <c r="CK12" s="287"/>
      <c r="CL12" s="287"/>
      <c r="CM12" s="287"/>
      <c r="CN12" s="287"/>
      <c r="CO12" s="287"/>
      <c r="CP12" s="287"/>
      <c r="CQ12" s="287"/>
      <c r="CR12" s="287"/>
      <c r="CS12" s="287"/>
      <c r="CT12" s="287"/>
      <c r="CU12" s="287"/>
      <c r="CV12" s="287"/>
      <c r="CW12" s="287"/>
      <c r="CX12" s="287"/>
      <c r="CY12" s="287"/>
      <c r="CZ12" s="287"/>
      <c r="DA12" s="287"/>
      <c r="DB12" s="287"/>
      <c r="DC12" s="287"/>
      <c r="DD12" s="287"/>
      <c r="DE12" s="287"/>
    </row>
    <row r="13" spans="1:113" s="288" customFormat="1" ht="21.95" hidden="1" customHeight="1">
      <c r="A13" s="683" t="s">
        <v>35</v>
      </c>
      <c r="B13" s="894" t="e">
        <f>'Послуга ЦО'!#REF!</f>
        <v>#REF!</v>
      </c>
      <c r="C13" s="819"/>
      <c r="D13" s="319"/>
      <c r="E13" s="373"/>
      <c r="F13" s="408">
        <f t="shared" si="0"/>
        <v>0</v>
      </c>
      <c r="G13" s="410">
        <f>C13/$C$70*$G$70</f>
        <v>0</v>
      </c>
      <c r="H13" s="756">
        <f t="shared" si="13"/>
        <v>0</v>
      </c>
      <c r="I13" s="373">
        <f>'Додаток2 скор'!K21</f>
        <v>0</v>
      </c>
      <c r="J13" s="756">
        <f t="shared" si="7"/>
        <v>0</v>
      </c>
      <c r="K13" s="756">
        <f>$E13/$E$70*$K$70</f>
        <v>0</v>
      </c>
      <c r="L13" s="742">
        <f t="shared" si="8"/>
        <v>0</v>
      </c>
      <c r="M13" s="410">
        <f>C13/$C$70*$M$70</f>
        <v>0</v>
      </c>
      <c r="N13" s="877">
        <f t="shared" si="14"/>
        <v>0</v>
      </c>
      <c r="O13" s="407">
        <f>'Додаток2 скор'!P21</f>
        <v>0</v>
      </c>
      <c r="P13" s="373">
        <f t="shared" si="9"/>
        <v>0</v>
      </c>
      <c r="Q13" s="756">
        <f>$E13/$E$70*$Q$70</f>
        <v>0</v>
      </c>
      <c r="R13" s="408">
        <f t="shared" si="10"/>
        <v>0</v>
      </c>
      <c r="S13" s="410">
        <f>$C13/$C$70*$S$70</f>
        <v>0</v>
      </c>
      <c r="T13" s="756">
        <f t="shared" si="15"/>
        <v>0</v>
      </c>
      <c r="U13" s="373">
        <f>'Додаток2 скор'!U21</f>
        <v>0</v>
      </c>
      <c r="V13" s="373">
        <f t="shared" si="11"/>
        <v>0</v>
      </c>
      <c r="W13" s="756">
        <f t="shared" si="16"/>
        <v>0</v>
      </c>
      <c r="X13" s="395">
        <f t="shared" si="12"/>
        <v>0</v>
      </c>
      <c r="Y13" s="410">
        <f t="shared" ref="Y13:Y22" si="18">$C13/$C$70*$Y$70</f>
        <v>0</v>
      </c>
      <c r="Z13" s="756">
        <f t="shared" si="17"/>
        <v>0</v>
      </c>
      <c r="AA13" s="373">
        <v>0</v>
      </c>
      <c r="AB13" s="373">
        <f>$E13/$E$70*$AB$70</f>
        <v>0</v>
      </c>
      <c r="AC13" s="395">
        <f>AB13/$AB$70*1000</f>
        <v>0</v>
      </c>
      <c r="AD13" s="986">
        <f t="shared" si="4"/>
        <v>0</v>
      </c>
      <c r="AE13" s="412"/>
      <c r="AF13" s="412"/>
      <c r="AG13" s="412"/>
      <c r="AH13" s="1083"/>
      <c r="AI13" s="1083"/>
      <c r="AJ13" s="1083"/>
      <c r="AK13" s="1083"/>
      <c r="AL13" s="1083"/>
      <c r="AM13" s="1083"/>
      <c r="AN13" s="1083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287"/>
      <c r="CC13" s="287"/>
      <c r="CD13" s="287"/>
      <c r="CE13" s="287"/>
      <c r="CF13" s="287"/>
      <c r="CG13" s="287"/>
      <c r="CH13" s="287"/>
      <c r="CI13" s="287"/>
      <c r="CJ13" s="287"/>
      <c r="CK13" s="287"/>
      <c r="CL13" s="287"/>
      <c r="CM13" s="287"/>
      <c r="CN13" s="287"/>
      <c r="CO13" s="287"/>
      <c r="CP13" s="287"/>
      <c r="CQ13" s="287"/>
      <c r="CR13" s="287"/>
      <c r="CS13" s="287"/>
      <c r="CT13" s="287"/>
      <c r="CU13" s="287"/>
      <c r="CV13" s="287"/>
      <c r="CW13" s="287"/>
      <c r="CX13" s="287"/>
      <c r="CY13" s="287"/>
      <c r="CZ13" s="287"/>
      <c r="DA13" s="287"/>
      <c r="DB13" s="287"/>
      <c r="DC13" s="287"/>
      <c r="DD13" s="287"/>
      <c r="DE13" s="287"/>
      <c r="DF13" s="287"/>
      <c r="DG13" s="287"/>
      <c r="DH13" s="287"/>
      <c r="DI13" s="287"/>
    </row>
    <row r="14" spans="1:113" s="288" customFormat="1" ht="21.95" hidden="1" customHeight="1">
      <c r="A14" s="683" t="s">
        <v>36</v>
      </c>
      <c r="B14" s="893" t="e">
        <f>'Послуга ЦО'!#REF!</f>
        <v>#REF!</v>
      </c>
      <c r="C14" s="407"/>
      <c r="D14" s="820"/>
      <c r="E14" s="373"/>
      <c r="F14" s="408">
        <f t="shared" si="0"/>
        <v>0</v>
      </c>
      <c r="G14" s="410">
        <f>C14/$C$70*$G$70</f>
        <v>0</v>
      </c>
      <c r="H14" s="756">
        <f t="shared" si="13"/>
        <v>0</v>
      </c>
      <c r="I14" s="373">
        <f>'Додаток2 скор'!K24</f>
        <v>0</v>
      </c>
      <c r="J14" s="756">
        <f t="shared" si="7"/>
        <v>0</v>
      </c>
      <c r="K14" s="756">
        <f>$E14/$E$70*$K$70</f>
        <v>0</v>
      </c>
      <c r="L14" s="742">
        <f t="shared" si="8"/>
        <v>0</v>
      </c>
      <c r="M14" s="410">
        <f>C14/$C$70*$M$70</f>
        <v>0</v>
      </c>
      <c r="N14" s="877">
        <f t="shared" si="14"/>
        <v>0</v>
      </c>
      <c r="O14" s="407">
        <f>'Додаток2 скор'!P24</f>
        <v>0</v>
      </c>
      <c r="P14" s="373">
        <f t="shared" si="9"/>
        <v>0</v>
      </c>
      <c r="Q14" s="756">
        <f>$E14/$E$70*$Q$70</f>
        <v>0</v>
      </c>
      <c r="R14" s="408">
        <f t="shared" si="10"/>
        <v>0</v>
      </c>
      <c r="S14" s="410">
        <f>$C14/$C$70*$S$70</f>
        <v>0</v>
      </c>
      <c r="T14" s="756">
        <f t="shared" si="15"/>
        <v>0</v>
      </c>
      <c r="U14" s="373">
        <f>'Додаток2 скор'!U24</f>
        <v>0</v>
      </c>
      <c r="V14" s="373">
        <f t="shared" si="11"/>
        <v>0</v>
      </c>
      <c r="W14" s="756">
        <f t="shared" si="16"/>
        <v>0</v>
      </c>
      <c r="X14" s="395">
        <f t="shared" si="12"/>
        <v>0</v>
      </c>
      <c r="Y14" s="410">
        <f t="shared" si="18"/>
        <v>0</v>
      </c>
      <c r="Z14" s="756">
        <f t="shared" si="17"/>
        <v>0</v>
      </c>
      <c r="AA14" s="373">
        <v>0</v>
      </c>
      <c r="AB14" s="373">
        <f>$E14/$E$70*$AB$70</f>
        <v>0</v>
      </c>
      <c r="AC14" s="395">
        <f>AB14/$AB$70*1000</f>
        <v>0</v>
      </c>
      <c r="AD14" s="986">
        <f t="shared" si="4"/>
        <v>0</v>
      </c>
      <c r="AE14" s="412"/>
      <c r="AF14" s="412"/>
      <c r="AG14" s="412"/>
      <c r="AH14" s="1083"/>
      <c r="AI14" s="1083"/>
      <c r="AJ14" s="1083"/>
      <c r="AK14" s="1083"/>
      <c r="AL14" s="1083"/>
      <c r="AM14" s="1083"/>
      <c r="AN14" s="1083"/>
      <c r="AQ14" s="287"/>
      <c r="AR14" s="287"/>
      <c r="AS14" s="287"/>
      <c r="AT14" s="287"/>
      <c r="AU14" s="287"/>
      <c r="AV14" s="287"/>
      <c r="AW14" s="287"/>
      <c r="AX14" s="287"/>
      <c r="AY14" s="287"/>
      <c r="AZ14" s="287"/>
      <c r="BA14" s="287"/>
      <c r="BB14" s="287"/>
      <c r="BC14" s="287"/>
      <c r="BD14" s="287"/>
      <c r="BE14" s="287"/>
      <c r="BF14" s="287"/>
      <c r="BG14" s="287"/>
      <c r="BH14" s="287"/>
      <c r="BI14" s="287"/>
      <c r="BJ14" s="287"/>
      <c r="BK14" s="287"/>
      <c r="BL14" s="287"/>
      <c r="BM14" s="287"/>
      <c r="BN14" s="287"/>
      <c r="BO14" s="287"/>
      <c r="BP14" s="287"/>
      <c r="BQ14" s="287"/>
      <c r="BR14" s="287"/>
      <c r="BS14" s="287"/>
      <c r="BT14" s="287"/>
      <c r="BU14" s="287"/>
      <c r="BV14" s="287"/>
      <c r="BW14" s="287"/>
      <c r="BX14" s="287"/>
      <c r="BY14" s="287"/>
      <c r="BZ14" s="287"/>
      <c r="CA14" s="287"/>
      <c r="CB14" s="287"/>
      <c r="CC14" s="287"/>
      <c r="CD14" s="287"/>
      <c r="CE14" s="287"/>
      <c r="CF14" s="287"/>
      <c r="CG14" s="287"/>
      <c r="CH14" s="287"/>
      <c r="CI14" s="287"/>
      <c r="CJ14" s="287"/>
      <c r="CK14" s="287"/>
      <c r="CL14" s="287"/>
      <c r="CM14" s="287"/>
      <c r="CN14" s="287"/>
      <c r="CO14" s="287"/>
      <c r="CP14" s="287"/>
      <c r="CQ14" s="287"/>
      <c r="CR14" s="287"/>
      <c r="CS14" s="287"/>
      <c r="CT14" s="287"/>
      <c r="CU14" s="287"/>
      <c r="CV14" s="287"/>
      <c r="CW14" s="287"/>
      <c r="CX14" s="287"/>
      <c r="CY14" s="287"/>
      <c r="CZ14" s="287"/>
      <c r="DA14" s="287"/>
      <c r="DB14" s="287"/>
      <c r="DC14" s="287"/>
      <c r="DD14" s="287"/>
      <c r="DE14" s="287"/>
      <c r="DF14" s="287"/>
      <c r="DG14" s="287"/>
      <c r="DH14" s="287"/>
      <c r="DI14" s="287"/>
    </row>
    <row r="15" spans="1:113" s="678" customFormat="1" ht="32.25" customHeight="1">
      <c r="A15" s="683" t="s">
        <v>35</v>
      </c>
      <c r="B15" s="893" t="s">
        <v>37</v>
      </c>
      <c r="C15" s="407">
        <f>483.6+140.7</f>
        <v>624.29999999999995</v>
      </c>
      <c r="D15" s="820">
        <f>482.85+162.3</f>
        <v>645.15</v>
      </c>
      <c r="E15" s="373">
        <v>1108.77</v>
      </c>
      <c r="F15" s="408">
        <f t="shared" si="0"/>
        <v>4.68</v>
      </c>
      <c r="G15" s="410">
        <f>C15/$C$70*$G$70-0.05</f>
        <v>525.05999999999995</v>
      </c>
      <c r="H15" s="756">
        <f t="shared" si="13"/>
        <v>551.5</v>
      </c>
      <c r="I15" s="373">
        <v>873.05</v>
      </c>
      <c r="J15" s="756">
        <f t="shared" si="7"/>
        <v>4.25</v>
      </c>
      <c r="K15" s="756">
        <f>$E15/$E$70*$K$70</f>
        <v>952.07</v>
      </c>
      <c r="L15" s="742">
        <f t="shared" si="8"/>
        <v>4.68</v>
      </c>
      <c r="M15" s="410">
        <f>C15/$C$70*$M$70-0.05</f>
        <v>85.22</v>
      </c>
      <c r="N15" s="877">
        <f t="shared" si="14"/>
        <v>81.180000000000007</v>
      </c>
      <c r="O15" s="407">
        <v>115.85</v>
      </c>
      <c r="P15" s="373">
        <f t="shared" si="9"/>
        <v>4.25</v>
      </c>
      <c r="Q15" s="756">
        <f>$E15/$E$70*$Q$70</f>
        <v>124.08</v>
      </c>
      <c r="R15" s="408">
        <f t="shared" si="10"/>
        <v>4.68</v>
      </c>
      <c r="S15" s="410">
        <f>$C15/$C$70*$S$70-0.04</f>
        <v>13.89</v>
      </c>
      <c r="T15" s="756">
        <f t="shared" si="15"/>
        <v>12.47</v>
      </c>
      <c r="U15" s="373">
        <v>38.01</v>
      </c>
      <c r="V15" s="373">
        <f t="shared" si="11"/>
        <v>4.25</v>
      </c>
      <c r="W15" s="756">
        <f t="shared" si="16"/>
        <v>32.340000000000003</v>
      </c>
      <c r="X15" s="395">
        <f t="shared" si="12"/>
        <v>4.68</v>
      </c>
      <c r="Y15" s="410">
        <f t="shared" si="18"/>
        <v>0.14000000000000001</v>
      </c>
      <c r="Z15" s="756">
        <f t="shared" si="17"/>
        <v>0.15</v>
      </c>
      <c r="AA15" s="373">
        <v>4.25</v>
      </c>
      <c r="AB15" s="373">
        <f>$E15/$E$70*$AB$70</f>
        <v>0.28000000000000003</v>
      </c>
      <c r="AC15" s="395">
        <f>AB15/$AB$70*1000+0.08</f>
        <v>4.68</v>
      </c>
      <c r="AD15" s="986">
        <f t="shared" si="4"/>
        <v>0</v>
      </c>
      <c r="AF15" s="684"/>
      <c r="AG15" s="684"/>
      <c r="AH15" s="685"/>
      <c r="AI15" s="685"/>
      <c r="AJ15" s="685"/>
      <c r="AK15" s="684"/>
      <c r="AL15" s="686"/>
      <c r="AM15" s="686"/>
      <c r="AN15" s="686"/>
      <c r="AQ15" s="679"/>
      <c r="AR15" s="679"/>
      <c r="AS15" s="679"/>
      <c r="AT15" s="679"/>
      <c r="AU15" s="679"/>
      <c r="AV15" s="679"/>
      <c r="AW15" s="679"/>
      <c r="AX15" s="679"/>
      <c r="AY15" s="679"/>
      <c r="AZ15" s="679"/>
      <c r="BA15" s="679"/>
      <c r="BB15" s="679"/>
      <c r="BC15" s="679"/>
      <c r="BD15" s="679"/>
      <c r="BE15" s="679"/>
      <c r="BF15" s="679"/>
      <c r="BG15" s="679"/>
      <c r="BH15" s="679"/>
      <c r="BI15" s="679"/>
      <c r="BJ15" s="679"/>
      <c r="BK15" s="679"/>
      <c r="BL15" s="679"/>
      <c r="BM15" s="679"/>
      <c r="BN15" s="679"/>
      <c r="BO15" s="679"/>
      <c r="BP15" s="679"/>
      <c r="BQ15" s="679"/>
      <c r="BR15" s="679"/>
      <c r="BS15" s="679"/>
      <c r="BT15" s="679"/>
      <c r="BU15" s="679"/>
      <c r="BV15" s="679"/>
      <c r="BW15" s="679"/>
      <c r="BX15" s="679"/>
      <c r="BY15" s="679"/>
      <c r="BZ15" s="679"/>
      <c r="CA15" s="679"/>
      <c r="CB15" s="679"/>
      <c r="CC15" s="679"/>
      <c r="CD15" s="679"/>
      <c r="CE15" s="679"/>
      <c r="CF15" s="679"/>
      <c r="CG15" s="679"/>
      <c r="CH15" s="679"/>
      <c r="CI15" s="679"/>
      <c r="CJ15" s="679"/>
      <c r="CK15" s="679"/>
      <c r="CL15" s="679"/>
      <c r="CM15" s="679"/>
      <c r="CN15" s="679"/>
      <c r="CO15" s="679"/>
      <c r="CP15" s="679"/>
      <c r="CQ15" s="679"/>
      <c r="CR15" s="679"/>
      <c r="CS15" s="679"/>
      <c r="CT15" s="679"/>
      <c r="CU15" s="679"/>
      <c r="CV15" s="679"/>
      <c r="CW15" s="679"/>
      <c r="CX15" s="679"/>
      <c r="CY15" s="679"/>
      <c r="CZ15" s="679"/>
      <c r="DA15" s="679"/>
      <c r="DB15" s="679"/>
      <c r="DC15" s="679"/>
      <c r="DD15" s="679"/>
      <c r="DE15" s="679"/>
      <c r="DF15" s="679"/>
      <c r="DG15" s="679"/>
      <c r="DH15" s="679"/>
      <c r="DI15" s="679"/>
    </row>
    <row r="16" spans="1:113" s="678" customFormat="1" ht="37.5" customHeight="1">
      <c r="A16" s="683" t="s">
        <v>36</v>
      </c>
      <c r="B16" s="894" t="s">
        <v>435</v>
      </c>
      <c r="C16" s="1005">
        <f>SUM(C17:C22)</f>
        <v>1560.25</v>
      </c>
      <c r="D16" s="298">
        <f>SUM(D17:D22)</f>
        <v>1435.89</v>
      </c>
      <c r="E16" s="373">
        <f>SUM(E17:E21)</f>
        <v>1096.51</v>
      </c>
      <c r="F16" s="408">
        <f t="shared" si="0"/>
        <v>4.63</v>
      </c>
      <c r="G16" s="410">
        <f t="shared" ref="G16:G21" si="19">C16/$C$70*$G$70</f>
        <v>1312.35</v>
      </c>
      <c r="H16" s="756">
        <f t="shared" si="13"/>
        <v>1227.45</v>
      </c>
      <c r="I16" s="373">
        <v>1205.24</v>
      </c>
      <c r="J16" s="756">
        <f t="shared" si="7"/>
        <v>5.87</v>
      </c>
      <c r="K16" s="756">
        <f>SUM(K17:K21)</f>
        <v>941.55</v>
      </c>
      <c r="L16" s="742">
        <f t="shared" si="8"/>
        <v>4.63</v>
      </c>
      <c r="M16" s="410">
        <f t="shared" ref="M16:M21" si="20">C16/$C$70*$M$70</f>
        <v>213.1</v>
      </c>
      <c r="N16" s="877">
        <f t="shared" si="14"/>
        <v>180.68</v>
      </c>
      <c r="O16" s="407">
        <v>159.93</v>
      </c>
      <c r="P16" s="373">
        <f t="shared" si="9"/>
        <v>5.87</v>
      </c>
      <c r="Q16" s="756">
        <f>SUM(Q17:Q21)</f>
        <v>122.7</v>
      </c>
      <c r="R16" s="408">
        <f t="shared" si="10"/>
        <v>4.63</v>
      </c>
      <c r="S16" s="410">
        <f t="shared" ref="S16:S22" si="21">$C16/$C$70*$S$70</f>
        <v>34.81</v>
      </c>
      <c r="T16" s="756">
        <f t="shared" si="15"/>
        <v>27.76</v>
      </c>
      <c r="U16" s="373">
        <v>52.47</v>
      </c>
      <c r="V16" s="373">
        <f t="shared" si="11"/>
        <v>5.87</v>
      </c>
      <c r="W16" s="756">
        <f t="shared" si="16"/>
        <v>31.98</v>
      </c>
      <c r="X16" s="395">
        <f t="shared" si="12"/>
        <v>4.63</v>
      </c>
      <c r="Y16" s="410">
        <f t="shared" si="18"/>
        <v>0.36</v>
      </c>
      <c r="Z16" s="756">
        <f t="shared" si="17"/>
        <v>0.32</v>
      </c>
      <c r="AA16" s="373">
        <v>5.87</v>
      </c>
      <c r="AB16" s="373">
        <f>$E16/$E$70*$AB$70</f>
        <v>0.28000000000000003</v>
      </c>
      <c r="AC16" s="395">
        <f>SUM(AC17:AC21)</f>
        <v>4.63</v>
      </c>
      <c r="AD16" s="986">
        <f t="shared" si="4"/>
        <v>0</v>
      </c>
      <c r="AF16" s="684"/>
      <c r="AG16" s="684"/>
      <c r="AH16" s="685"/>
      <c r="AI16" s="685"/>
      <c r="AJ16" s="685"/>
      <c r="AK16" s="684"/>
      <c r="AL16" s="686"/>
      <c r="AM16" s="686"/>
      <c r="AN16" s="686"/>
      <c r="AQ16" s="679"/>
      <c r="AR16" s="679"/>
      <c r="AS16" s="679"/>
      <c r="AT16" s="679"/>
      <c r="AU16" s="679"/>
      <c r="AV16" s="679"/>
      <c r="AW16" s="679"/>
      <c r="AX16" s="679"/>
      <c r="AY16" s="679"/>
      <c r="AZ16" s="679"/>
      <c r="BA16" s="679"/>
      <c r="BB16" s="679"/>
      <c r="BC16" s="679"/>
      <c r="BD16" s="679"/>
      <c r="BE16" s="679"/>
      <c r="BF16" s="679"/>
      <c r="BG16" s="679"/>
      <c r="BH16" s="679"/>
      <c r="BI16" s="679"/>
      <c r="BJ16" s="679"/>
      <c r="BK16" s="679"/>
      <c r="BL16" s="679"/>
      <c r="BM16" s="679"/>
      <c r="BN16" s="679"/>
      <c r="BO16" s="679"/>
      <c r="BP16" s="679"/>
      <c r="BQ16" s="679"/>
      <c r="BR16" s="679"/>
      <c r="BS16" s="679"/>
      <c r="BT16" s="679"/>
      <c r="BU16" s="679"/>
      <c r="BV16" s="679"/>
      <c r="BW16" s="679"/>
      <c r="BX16" s="679"/>
      <c r="BY16" s="679"/>
      <c r="BZ16" s="679"/>
      <c r="CA16" s="679"/>
      <c r="CB16" s="679"/>
      <c r="CC16" s="679"/>
      <c r="CD16" s="679"/>
      <c r="CE16" s="679"/>
      <c r="CF16" s="679"/>
      <c r="CG16" s="679"/>
      <c r="CH16" s="679"/>
      <c r="CI16" s="679"/>
      <c r="CJ16" s="679"/>
      <c r="CK16" s="679"/>
      <c r="CL16" s="679"/>
      <c r="CM16" s="679"/>
      <c r="CN16" s="679"/>
      <c r="CO16" s="679"/>
      <c r="CP16" s="679"/>
      <c r="CQ16" s="679"/>
      <c r="CR16" s="679"/>
      <c r="CS16" s="679"/>
      <c r="CT16" s="679"/>
      <c r="CU16" s="679"/>
      <c r="CV16" s="679"/>
      <c r="CW16" s="679"/>
      <c r="CX16" s="679"/>
      <c r="CY16" s="679"/>
      <c r="CZ16" s="679"/>
      <c r="DA16" s="679"/>
      <c r="DB16" s="679"/>
      <c r="DC16" s="679"/>
      <c r="DD16" s="679"/>
      <c r="DE16" s="679"/>
      <c r="DF16" s="679"/>
      <c r="DG16" s="679"/>
      <c r="DH16" s="679"/>
      <c r="DI16" s="679"/>
    </row>
    <row r="17" spans="1:113" s="678" customFormat="1" ht="18.75" customHeight="1">
      <c r="A17" s="683"/>
      <c r="B17" s="895" t="s">
        <v>441</v>
      </c>
      <c r="C17" s="1006">
        <v>931</v>
      </c>
      <c r="D17" s="872">
        <v>687.93</v>
      </c>
      <c r="E17" s="373">
        <v>227.07</v>
      </c>
      <c r="F17" s="408">
        <f t="shared" si="0"/>
        <v>0.96</v>
      </c>
      <c r="G17" s="410">
        <f t="shared" si="19"/>
        <v>783.08</v>
      </c>
      <c r="H17" s="756">
        <f t="shared" si="13"/>
        <v>588.07000000000005</v>
      </c>
      <c r="I17" s="373"/>
      <c r="J17" s="756"/>
      <c r="K17" s="756">
        <f t="shared" ref="K17:K22" si="22">$E17/$E$70*$K$70</f>
        <v>194.98</v>
      </c>
      <c r="L17" s="742">
        <f t="shared" si="8"/>
        <v>0.96</v>
      </c>
      <c r="M17" s="410">
        <f t="shared" si="20"/>
        <v>127.15</v>
      </c>
      <c r="N17" s="877">
        <f t="shared" si="14"/>
        <v>86.56</v>
      </c>
      <c r="O17" s="407"/>
      <c r="P17" s="373"/>
      <c r="Q17" s="756">
        <f t="shared" ref="Q17:Q22" si="23">$E17/$E$70*$Q$70</f>
        <v>25.41</v>
      </c>
      <c r="R17" s="408">
        <f t="shared" si="10"/>
        <v>0.96</v>
      </c>
      <c r="S17" s="410">
        <f t="shared" si="21"/>
        <v>20.77</v>
      </c>
      <c r="T17" s="756">
        <f t="shared" si="15"/>
        <v>13.3</v>
      </c>
      <c r="U17" s="373"/>
      <c r="V17" s="373"/>
      <c r="W17" s="756">
        <f t="shared" si="16"/>
        <v>6.62</v>
      </c>
      <c r="X17" s="395">
        <f t="shared" si="12"/>
        <v>0.96</v>
      </c>
      <c r="Y17" s="410">
        <f t="shared" si="18"/>
        <v>0.21</v>
      </c>
      <c r="Z17" s="756">
        <f t="shared" si="17"/>
        <v>0.16</v>
      </c>
      <c r="AA17" s="373"/>
      <c r="AB17" s="373">
        <f>ROUND($E17/$E$70*$AB$70,2)</f>
        <v>0.06</v>
      </c>
      <c r="AC17" s="395">
        <f>ROUND(AB17/$AB$70*1000,2)-0.03</f>
        <v>0.96</v>
      </c>
      <c r="AD17" s="986">
        <f t="shared" si="4"/>
        <v>0</v>
      </c>
      <c r="AF17" s="684"/>
      <c r="AG17" s="684"/>
      <c r="AH17" s="685"/>
      <c r="AI17" s="685"/>
      <c r="AJ17" s="685"/>
      <c r="AK17" s="684"/>
      <c r="AL17" s="686"/>
      <c r="AM17" s="686"/>
      <c r="AN17" s="686"/>
      <c r="AQ17" s="679"/>
      <c r="AR17" s="679"/>
      <c r="AS17" s="679"/>
      <c r="AT17" s="679"/>
      <c r="AU17" s="679"/>
      <c r="AV17" s="679"/>
      <c r="AW17" s="679"/>
      <c r="AX17" s="679"/>
      <c r="AY17" s="679"/>
      <c r="AZ17" s="679"/>
      <c r="BA17" s="679"/>
      <c r="BB17" s="679"/>
      <c r="BC17" s="679"/>
      <c r="BD17" s="679"/>
      <c r="BE17" s="679"/>
      <c r="BF17" s="679"/>
      <c r="BG17" s="679"/>
      <c r="BH17" s="679"/>
      <c r="BI17" s="679"/>
      <c r="BJ17" s="679"/>
      <c r="BK17" s="679"/>
      <c r="BL17" s="679"/>
      <c r="BM17" s="679"/>
      <c r="BN17" s="679"/>
      <c r="BO17" s="679"/>
      <c r="BP17" s="679"/>
      <c r="BQ17" s="679"/>
      <c r="BR17" s="679"/>
      <c r="BS17" s="679"/>
      <c r="BT17" s="679"/>
      <c r="BU17" s="679"/>
      <c r="BV17" s="679"/>
      <c r="BW17" s="679"/>
      <c r="BX17" s="679"/>
      <c r="BY17" s="679"/>
      <c r="BZ17" s="679"/>
      <c r="CA17" s="679"/>
      <c r="CB17" s="679"/>
      <c r="CC17" s="679"/>
      <c r="CD17" s="679"/>
      <c r="CE17" s="679"/>
      <c r="CF17" s="679"/>
      <c r="CG17" s="679"/>
      <c r="CH17" s="679"/>
      <c r="CI17" s="679"/>
      <c r="CJ17" s="679"/>
      <c r="CK17" s="679"/>
      <c r="CL17" s="679"/>
      <c r="CM17" s="679"/>
      <c r="CN17" s="679"/>
      <c r="CO17" s="679"/>
      <c r="CP17" s="679"/>
      <c r="CQ17" s="679"/>
      <c r="CR17" s="679"/>
      <c r="CS17" s="679"/>
      <c r="CT17" s="679"/>
      <c r="CU17" s="679"/>
      <c r="CV17" s="679"/>
      <c r="CW17" s="679"/>
      <c r="CX17" s="679"/>
      <c r="CY17" s="679"/>
      <c r="CZ17" s="679"/>
      <c r="DA17" s="679"/>
      <c r="DB17" s="679"/>
      <c r="DC17" s="679"/>
      <c r="DD17" s="679"/>
      <c r="DE17" s="679"/>
      <c r="DF17" s="679"/>
      <c r="DG17" s="679"/>
      <c r="DH17" s="679"/>
      <c r="DI17" s="679"/>
    </row>
    <row r="18" spans="1:113" s="678" customFormat="1" ht="24" customHeight="1">
      <c r="A18" s="683"/>
      <c r="B18" s="896" t="s">
        <v>440</v>
      </c>
      <c r="C18" s="1006">
        <v>272.20999999999998</v>
      </c>
      <c r="D18" s="872">
        <v>399.7</v>
      </c>
      <c r="E18" s="373">
        <v>161.5</v>
      </c>
      <c r="F18" s="408">
        <f t="shared" si="0"/>
        <v>0.68</v>
      </c>
      <c r="G18" s="410">
        <f t="shared" si="19"/>
        <v>228.96</v>
      </c>
      <c r="H18" s="756">
        <f t="shared" si="13"/>
        <v>341.68</v>
      </c>
      <c r="I18" s="373"/>
      <c r="J18" s="756"/>
      <c r="K18" s="756">
        <f t="shared" si="22"/>
        <v>138.68</v>
      </c>
      <c r="L18" s="742">
        <f t="shared" si="8"/>
        <v>0.68</v>
      </c>
      <c r="M18" s="410">
        <f t="shared" si="20"/>
        <v>37.18</v>
      </c>
      <c r="N18" s="877">
        <f t="shared" si="14"/>
        <v>50.29</v>
      </c>
      <c r="O18" s="407"/>
      <c r="P18" s="373"/>
      <c r="Q18" s="756">
        <f t="shared" si="23"/>
        <v>18.07</v>
      </c>
      <c r="R18" s="408">
        <f t="shared" si="10"/>
        <v>0.68</v>
      </c>
      <c r="S18" s="410">
        <f t="shared" si="21"/>
        <v>6.07</v>
      </c>
      <c r="T18" s="756">
        <f t="shared" si="15"/>
        <v>7.73</v>
      </c>
      <c r="U18" s="373"/>
      <c r="V18" s="373"/>
      <c r="W18" s="756">
        <f t="shared" si="16"/>
        <v>4.71</v>
      </c>
      <c r="X18" s="395">
        <f t="shared" si="12"/>
        <v>0.68</v>
      </c>
      <c r="Y18" s="410">
        <f t="shared" si="18"/>
        <v>0.06</v>
      </c>
      <c r="Z18" s="756">
        <f t="shared" si="17"/>
        <v>0.09</v>
      </c>
      <c r="AA18" s="373"/>
      <c r="AB18" s="373">
        <f>$E18/$E$70*$AB$70</f>
        <v>0.04</v>
      </c>
      <c r="AC18" s="395">
        <f>AB18/$AB$70*1000+0.02</f>
        <v>0.68</v>
      </c>
      <c r="AD18" s="986">
        <f t="shared" si="4"/>
        <v>0</v>
      </c>
      <c r="AF18" s="684"/>
      <c r="AG18" s="684"/>
      <c r="AH18" s="685"/>
      <c r="AI18" s="685"/>
      <c r="AJ18" s="685"/>
      <c r="AK18" s="684"/>
      <c r="AL18" s="686"/>
      <c r="AM18" s="686"/>
      <c r="AN18" s="686"/>
      <c r="AQ18" s="679"/>
      <c r="AR18" s="679"/>
      <c r="AS18" s="679"/>
      <c r="AT18" s="679"/>
      <c r="AU18" s="679"/>
      <c r="AV18" s="679"/>
      <c r="AW18" s="679"/>
      <c r="AX18" s="679"/>
      <c r="AY18" s="679"/>
      <c r="AZ18" s="679"/>
      <c r="BA18" s="679"/>
      <c r="BB18" s="679"/>
      <c r="BC18" s="679"/>
      <c r="BD18" s="679"/>
      <c r="BE18" s="679"/>
      <c r="BF18" s="679"/>
      <c r="BG18" s="679"/>
      <c r="BH18" s="679"/>
      <c r="BI18" s="679"/>
      <c r="BJ18" s="679"/>
      <c r="BK18" s="679"/>
      <c r="BL18" s="679"/>
      <c r="BM18" s="679"/>
      <c r="BN18" s="679"/>
      <c r="BO18" s="679"/>
      <c r="BP18" s="679"/>
      <c r="BQ18" s="679"/>
      <c r="BR18" s="679"/>
      <c r="BS18" s="679"/>
      <c r="BT18" s="679"/>
      <c r="BU18" s="679"/>
      <c r="BV18" s="679"/>
      <c r="BW18" s="679"/>
      <c r="BX18" s="679"/>
      <c r="BY18" s="679"/>
      <c r="BZ18" s="679"/>
      <c r="CA18" s="679"/>
      <c r="CB18" s="679"/>
      <c r="CC18" s="679"/>
      <c r="CD18" s="679"/>
      <c r="CE18" s="679"/>
      <c r="CF18" s="679"/>
      <c r="CG18" s="679"/>
      <c r="CH18" s="679"/>
      <c r="CI18" s="679"/>
      <c r="CJ18" s="679"/>
      <c r="CK18" s="679"/>
      <c r="CL18" s="679"/>
      <c r="CM18" s="679"/>
      <c r="CN18" s="679"/>
      <c r="CO18" s="679"/>
      <c r="CP18" s="679"/>
      <c r="CQ18" s="679"/>
      <c r="CR18" s="679"/>
      <c r="CS18" s="679"/>
      <c r="CT18" s="679"/>
      <c r="CU18" s="679"/>
      <c r="CV18" s="679"/>
      <c r="CW18" s="679"/>
      <c r="CX18" s="679"/>
      <c r="CY18" s="679"/>
      <c r="CZ18" s="679"/>
      <c r="DA18" s="679"/>
      <c r="DB18" s="679"/>
      <c r="DC18" s="679"/>
      <c r="DD18" s="679"/>
      <c r="DE18" s="679"/>
      <c r="DF18" s="679"/>
      <c r="DG18" s="679"/>
      <c r="DH18" s="679"/>
      <c r="DI18" s="679"/>
    </row>
    <row r="19" spans="1:113" s="678" customFormat="1" ht="24" customHeight="1">
      <c r="A19" s="683"/>
      <c r="B19" s="895" t="s">
        <v>442</v>
      </c>
      <c r="C19" s="1006">
        <v>275.22000000000003</v>
      </c>
      <c r="D19" s="872">
        <v>258.81</v>
      </c>
      <c r="E19" s="373">
        <v>271.8</v>
      </c>
      <c r="F19" s="408">
        <f t="shared" si="0"/>
        <v>1.1499999999999999</v>
      </c>
      <c r="G19" s="410">
        <f t="shared" si="19"/>
        <v>231.49</v>
      </c>
      <c r="H19" s="756">
        <f t="shared" si="13"/>
        <v>221.24</v>
      </c>
      <c r="I19" s="373"/>
      <c r="J19" s="756"/>
      <c r="K19" s="756">
        <f t="shared" si="22"/>
        <v>233.39</v>
      </c>
      <c r="L19" s="742">
        <f t="shared" si="8"/>
        <v>1.1499999999999999</v>
      </c>
      <c r="M19" s="410">
        <f t="shared" si="20"/>
        <v>37.590000000000003</v>
      </c>
      <c r="N19" s="877">
        <f t="shared" si="14"/>
        <v>32.57</v>
      </c>
      <c r="O19" s="407"/>
      <c r="P19" s="373"/>
      <c r="Q19" s="756">
        <f t="shared" si="23"/>
        <v>30.42</v>
      </c>
      <c r="R19" s="408">
        <f t="shared" si="10"/>
        <v>1.1499999999999999</v>
      </c>
      <c r="S19" s="410">
        <f t="shared" si="21"/>
        <v>6.14</v>
      </c>
      <c r="T19" s="756">
        <f t="shared" si="15"/>
        <v>5</v>
      </c>
      <c r="U19" s="373"/>
      <c r="V19" s="373"/>
      <c r="W19" s="756">
        <f t="shared" si="16"/>
        <v>7.93</v>
      </c>
      <c r="X19" s="395">
        <f t="shared" si="12"/>
        <v>1.1499999999999999</v>
      </c>
      <c r="Y19" s="410">
        <f t="shared" si="18"/>
        <v>0.06</v>
      </c>
      <c r="Z19" s="756">
        <f t="shared" si="17"/>
        <v>0.06</v>
      </c>
      <c r="AA19" s="373"/>
      <c r="AB19" s="373">
        <f>ROUND($E19/$E$70*$AB$70,2)-0.01</f>
        <v>0.06</v>
      </c>
      <c r="AC19" s="395">
        <f>AB19/$AB$70*1000+0.16</f>
        <v>1.1499999999999999</v>
      </c>
      <c r="AD19" s="986">
        <f t="shared" si="4"/>
        <v>0</v>
      </c>
      <c r="AF19" s="684"/>
      <c r="AG19" s="684"/>
      <c r="AH19" s="685"/>
      <c r="AI19" s="685"/>
      <c r="AJ19" s="685"/>
      <c r="AK19" s="684"/>
      <c r="AL19" s="686"/>
      <c r="AM19" s="686"/>
      <c r="AN19" s="686"/>
      <c r="AQ19" s="679"/>
      <c r="AR19" s="679"/>
      <c r="AS19" s="679"/>
      <c r="AT19" s="679"/>
      <c r="AU19" s="679"/>
      <c r="AV19" s="679"/>
      <c r="AW19" s="679"/>
      <c r="AX19" s="679"/>
      <c r="AY19" s="679"/>
      <c r="AZ19" s="679"/>
      <c r="BA19" s="679"/>
      <c r="BB19" s="679"/>
      <c r="BC19" s="679"/>
      <c r="BD19" s="679"/>
      <c r="BE19" s="679"/>
      <c r="BF19" s="679"/>
      <c r="BG19" s="679"/>
      <c r="BH19" s="679"/>
      <c r="BI19" s="679"/>
      <c r="BJ19" s="679"/>
      <c r="BK19" s="679"/>
      <c r="BL19" s="679"/>
      <c r="BM19" s="679"/>
      <c r="BN19" s="679"/>
      <c r="BO19" s="679"/>
      <c r="BP19" s="679"/>
      <c r="BQ19" s="679"/>
      <c r="BR19" s="679"/>
      <c r="BS19" s="679"/>
      <c r="BT19" s="679"/>
      <c r="BU19" s="679"/>
      <c r="BV19" s="679"/>
      <c r="BW19" s="679"/>
      <c r="BX19" s="679"/>
      <c r="BY19" s="679"/>
      <c r="BZ19" s="679"/>
      <c r="CA19" s="679"/>
      <c r="CB19" s="679"/>
      <c r="CC19" s="679"/>
      <c r="CD19" s="679"/>
      <c r="CE19" s="679"/>
      <c r="CF19" s="679"/>
      <c r="CG19" s="679"/>
      <c r="CH19" s="679"/>
      <c r="CI19" s="679"/>
      <c r="CJ19" s="679"/>
      <c r="CK19" s="679"/>
      <c r="CL19" s="679"/>
      <c r="CM19" s="679"/>
      <c r="CN19" s="679"/>
      <c r="CO19" s="679"/>
      <c r="CP19" s="679"/>
      <c r="CQ19" s="679"/>
      <c r="CR19" s="679"/>
      <c r="CS19" s="679"/>
      <c r="CT19" s="679"/>
      <c r="CU19" s="679"/>
      <c r="CV19" s="679"/>
      <c r="CW19" s="679"/>
      <c r="CX19" s="679"/>
      <c r="CY19" s="679"/>
      <c r="CZ19" s="679"/>
      <c r="DA19" s="679"/>
      <c r="DB19" s="679"/>
      <c r="DC19" s="679"/>
      <c r="DD19" s="679"/>
      <c r="DE19" s="679"/>
      <c r="DF19" s="679"/>
      <c r="DG19" s="679"/>
      <c r="DH19" s="679"/>
      <c r="DI19" s="679"/>
    </row>
    <row r="20" spans="1:113" s="678" customFormat="1" ht="33.75" customHeight="1">
      <c r="A20" s="683"/>
      <c r="B20" s="895" t="s">
        <v>444</v>
      </c>
      <c r="C20" s="1006">
        <v>30.84</v>
      </c>
      <c r="D20" s="872">
        <v>23.44</v>
      </c>
      <c r="E20" s="373">
        <v>75.34</v>
      </c>
      <c r="F20" s="408">
        <f t="shared" si="0"/>
        <v>0.32</v>
      </c>
      <c r="G20" s="410">
        <f t="shared" si="19"/>
        <v>25.94</v>
      </c>
      <c r="H20" s="756">
        <f t="shared" si="13"/>
        <v>20.04</v>
      </c>
      <c r="I20" s="373"/>
      <c r="J20" s="756"/>
      <c r="K20" s="756">
        <f t="shared" si="22"/>
        <v>64.69</v>
      </c>
      <c r="L20" s="742">
        <f t="shared" si="8"/>
        <v>0.32</v>
      </c>
      <c r="M20" s="410">
        <f t="shared" si="20"/>
        <v>4.21</v>
      </c>
      <c r="N20" s="877">
        <f t="shared" si="14"/>
        <v>2.95</v>
      </c>
      <c r="O20" s="407"/>
      <c r="P20" s="373"/>
      <c r="Q20" s="756">
        <f t="shared" si="23"/>
        <v>8.43</v>
      </c>
      <c r="R20" s="408">
        <f t="shared" si="10"/>
        <v>0.32</v>
      </c>
      <c r="S20" s="410">
        <f t="shared" si="21"/>
        <v>0.69</v>
      </c>
      <c r="T20" s="756">
        <f t="shared" si="15"/>
        <v>0.45</v>
      </c>
      <c r="U20" s="373"/>
      <c r="V20" s="373"/>
      <c r="W20" s="756">
        <f t="shared" si="16"/>
        <v>2.2000000000000002</v>
      </c>
      <c r="X20" s="395">
        <f t="shared" si="12"/>
        <v>0.32</v>
      </c>
      <c r="Y20" s="410">
        <f t="shared" si="18"/>
        <v>0.01</v>
      </c>
      <c r="Z20" s="756">
        <f t="shared" si="17"/>
        <v>0.01</v>
      </c>
      <c r="AA20" s="373"/>
      <c r="AB20" s="373">
        <f>$E20/$E$70*$AB$70</f>
        <v>0.02</v>
      </c>
      <c r="AC20" s="395">
        <f>AB20/$AB$70*1000-0.01</f>
        <v>0.32</v>
      </c>
      <c r="AD20" s="986">
        <f t="shared" si="4"/>
        <v>0</v>
      </c>
      <c r="AF20" s="684"/>
      <c r="AG20" s="684"/>
      <c r="AH20" s="685"/>
      <c r="AI20" s="685"/>
      <c r="AJ20" s="685"/>
      <c r="AK20" s="684"/>
      <c r="AL20" s="686"/>
      <c r="AM20" s="686"/>
      <c r="AN20" s="686"/>
      <c r="AQ20" s="679"/>
      <c r="AR20" s="679"/>
      <c r="AS20" s="679"/>
      <c r="AT20" s="679"/>
      <c r="AU20" s="679"/>
      <c r="AV20" s="679"/>
      <c r="AW20" s="679"/>
      <c r="AX20" s="679"/>
      <c r="AY20" s="679"/>
      <c r="AZ20" s="679"/>
      <c r="BA20" s="679"/>
      <c r="BB20" s="679"/>
      <c r="BC20" s="679"/>
      <c r="BD20" s="679"/>
      <c r="BE20" s="679"/>
      <c r="BF20" s="679"/>
      <c r="BG20" s="679"/>
      <c r="BH20" s="679"/>
      <c r="BI20" s="679"/>
      <c r="BJ20" s="679"/>
      <c r="BK20" s="679"/>
      <c r="BL20" s="679"/>
      <c r="BM20" s="679"/>
      <c r="BN20" s="679"/>
      <c r="BO20" s="679"/>
      <c r="BP20" s="679"/>
      <c r="BQ20" s="679"/>
      <c r="BR20" s="679"/>
      <c r="BS20" s="679"/>
      <c r="BT20" s="679"/>
      <c r="BU20" s="679"/>
      <c r="BV20" s="679"/>
      <c r="BW20" s="679"/>
      <c r="BX20" s="679"/>
      <c r="BY20" s="679"/>
      <c r="BZ20" s="679"/>
      <c r="CA20" s="679"/>
      <c r="CB20" s="679"/>
      <c r="CC20" s="679"/>
      <c r="CD20" s="679"/>
      <c r="CE20" s="679"/>
      <c r="CF20" s="679"/>
      <c r="CG20" s="679"/>
      <c r="CH20" s="679"/>
      <c r="CI20" s="679"/>
      <c r="CJ20" s="679"/>
      <c r="CK20" s="679"/>
      <c r="CL20" s="679"/>
      <c r="CM20" s="679"/>
      <c r="CN20" s="679"/>
      <c r="CO20" s="679"/>
      <c r="CP20" s="679"/>
      <c r="CQ20" s="679"/>
      <c r="CR20" s="679"/>
      <c r="CS20" s="679"/>
      <c r="CT20" s="679"/>
      <c r="CU20" s="679"/>
      <c r="CV20" s="679"/>
      <c r="CW20" s="679"/>
      <c r="CX20" s="679"/>
      <c r="CY20" s="679"/>
      <c r="CZ20" s="679"/>
      <c r="DA20" s="679"/>
      <c r="DB20" s="679"/>
      <c r="DC20" s="679"/>
      <c r="DD20" s="679"/>
      <c r="DE20" s="679"/>
      <c r="DF20" s="679"/>
      <c r="DG20" s="679"/>
      <c r="DH20" s="679"/>
      <c r="DI20" s="679"/>
    </row>
    <row r="21" spans="1:113" s="678" customFormat="1" ht="24" customHeight="1">
      <c r="A21" s="683"/>
      <c r="B21" s="895" t="s">
        <v>445</v>
      </c>
      <c r="C21" s="1006">
        <v>41.88</v>
      </c>
      <c r="D21" s="872">
        <v>56.63</v>
      </c>
      <c r="E21" s="373">
        <v>360.8</v>
      </c>
      <c r="F21" s="408">
        <f t="shared" si="0"/>
        <v>1.52</v>
      </c>
      <c r="G21" s="410">
        <f t="shared" si="19"/>
        <v>35.229999999999997</v>
      </c>
      <c r="H21" s="756">
        <f t="shared" si="13"/>
        <v>48.41</v>
      </c>
      <c r="I21" s="373"/>
      <c r="J21" s="756"/>
      <c r="K21" s="756">
        <f t="shared" si="22"/>
        <v>309.81</v>
      </c>
      <c r="L21" s="742">
        <f t="shared" si="8"/>
        <v>1.52</v>
      </c>
      <c r="M21" s="410">
        <f t="shared" si="20"/>
        <v>5.72</v>
      </c>
      <c r="N21" s="877">
        <f t="shared" si="14"/>
        <v>7.13</v>
      </c>
      <c r="O21" s="407"/>
      <c r="P21" s="373"/>
      <c r="Q21" s="756">
        <f t="shared" si="23"/>
        <v>40.369999999999997</v>
      </c>
      <c r="R21" s="408">
        <f t="shared" si="10"/>
        <v>1.52</v>
      </c>
      <c r="S21" s="410">
        <f t="shared" si="21"/>
        <v>0.93</v>
      </c>
      <c r="T21" s="756">
        <f t="shared" si="15"/>
        <v>1.0900000000000001</v>
      </c>
      <c r="U21" s="373"/>
      <c r="V21" s="373"/>
      <c r="W21" s="756">
        <f t="shared" si="16"/>
        <v>10.52</v>
      </c>
      <c r="X21" s="395">
        <f t="shared" si="12"/>
        <v>1.52</v>
      </c>
      <c r="Y21" s="410">
        <f t="shared" si="18"/>
        <v>0.01</v>
      </c>
      <c r="Z21" s="756">
        <f t="shared" si="17"/>
        <v>0.01</v>
      </c>
      <c r="AA21" s="373"/>
      <c r="AB21" s="373">
        <f>$E21/$E$70*$AB$70+0.01</f>
        <v>0.1</v>
      </c>
      <c r="AC21" s="395">
        <f>AB21/$AB$70*1000-0.12</f>
        <v>1.52</v>
      </c>
      <c r="AD21" s="986">
        <f t="shared" si="4"/>
        <v>0</v>
      </c>
      <c r="AF21" s="684"/>
      <c r="AG21" s="684"/>
      <c r="AH21" s="685"/>
      <c r="AI21" s="685"/>
      <c r="AJ21" s="685"/>
      <c r="AK21" s="684"/>
      <c r="AL21" s="686"/>
      <c r="AM21" s="686"/>
      <c r="AN21" s="686"/>
      <c r="AQ21" s="679"/>
      <c r="AR21" s="679"/>
      <c r="AS21" s="679"/>
      <c r="AT21" s="679"/>
      <c r="AU21" s="679"/>
      <c r="AV21" s="679"/>
      <c r="AW21" s="679"/>
      <c r="AX21" s="679"/>
      <c r="AY21" s="679"/>
      <c r="AZ21" s="679"/>
      <c r="BA21" s="679"/>
      <c r="BB21" s="679"/>
      <c r="BC21" s="679"/>
      <c r="BD21" s="679"/>
      <c r="BE21" s="679"/>
      <c r="BF21" s="679"/>
      <c r="BG21" s="679"/>
      <c r="BH21" s="679"/>
      <c r="BI21" s="679"/>
      <c r="BJ21" s="679"/>
      <c r="BK21" s="679"/>
      <c r="BL21" s="679"/>
      <c r="BM21" s="679"/>
      <c r="BN21" s="679"/>
      <c r="BO21" s="679"/>
      <c r="BP21" s="679"/>
      <c r="BQ21" s="679"/>
      <c r="BR21" s="679"/>
      <c r="BS21" s="679"/>
      <c r="BT21" s="679"/>
      <c r="BU21" s="679"/>
      <c r="BV21" s="679"/>
      <c r="BW21" s="679"/>
      <c r="BX21" s="679"/>
      <c r="BY21" s="679"/>
      <c r="BZ21" s="679"/>
      <c r="CA21" s="679"/>
      <c r="CB21" s="679"/>
      <c r="CC21" s="679"/>
      <c r="CD21" s="679"/>
      <c r="CE21" s="679"/>
      <c r="CF21" s="679"/>
      <c r="CG21" s="679"/>
      <c r="CH21" s="679"/>
      <c r="CI21" s="679"/>
      <c r="CJ21" s="679"/>
      <c r="CK21" s="679"/>
      <c r="CL21" s="679"/>
      <c r="CM21" s="679"/>
      <c r="CN21" s="679"/>
      <c r="CO21" s="679"/>
      <c r="CP21" s="679"/>
      <c r="CQ21" s="679"/>
      <c r="CR21" s="679"/>
      <c r="CS21" s="679"/>
      <c r="CT21" s="679"/>
      <c r="CU21" s="679"/>
      <c r="CV21" s="679"/>
      <c r="CW21" s="679"/>
      <c r="CX21" s="679"/>
      <c r="CY21" s="679"/>
      <c r="CZ21" s="679"/>
      <c r="DA21" s="679"/>
      <c r="DB21" s="679"/>
      <c r="DC21" s="679"/>
      <c r="DD21" s="679"/>
      <c r="DE21" s="679"/>
      <c r="DF21" s="679"/>
      <c r="DG21" s="679"/>
      <c r="DH21" s="679"/>
      <c r="DI21" s="679"/>
    </row>
    <row r="22" spans="1:113" s="678" customFormat="1" ht="24" hidden="1" customHeight="1">
      <c r="A22" s="683"/>
      <c r="B22" s="895" t="s">
        <v>454</v>
      </c>
      <c r="C22" s="1006">
        <v>9.1</v>
      </c>
      <c r="D22" s="872">
        <v>9.3800000000000008</v>
      </c>
      <c r="E22" s="373">
        <v>10.5</v>
      </c>
      <c r="F22" s="408">
        <f t="shared" si="0"/>
        <v>0.04</v>
      </c>
      <c r="G22" s="410">
        <f>C22/$C$70*$G$70</f>
        <v>7.65</v>
      </c>
      <c r="H22" s="756">
        <f>D22/$D$70*$H$70</f>
        <v>8.02</v>
      </c>
      <c r="I22" s="373"/>
      <c r="J22" s="756"/>
      <c r="K22" s="756">
        <f t="shared" si="22"/>
        <v>9.02</v>
      </c>
      <c r="L22" s="742">
        <f>K22/$K$70*1000</f>
        <v>0.04</v>
      </c>
      <c r="M22" s="410">
        <f>C22/$C$70*$M$70</f>
        <v>1.24</v>
      </c>
      <c r="N22" s="877">
        <f>D22/$D$70*$N$70</f>
        <v>1.18</v>
      </c>
      <c r="O22" s="407"/>
      <c r="P22" s="373"/>
      <c r="Q22" s="756">
        <f t="shared" si="23"/>
        <v>1.17</v>
      </c>
      <c r="R22" s="408">
        <f>Q22/$Q$70*1000</f>
        <v>0.04</v>
      </c>
      <c r="S22" s="410">
        <f t="shared" si="21"/>
        <v>0.2</v>
      </c>
      <c r="T22" s="756">
        <f t="shared" si="15"/>
        <v>0.18</v>
      </c>
      <c r="U22" s="373"/>
      <c r="V22" s="373"/>
      <c r="W22" s="756">
        <f t="shared" si="16"/>
        <v>0.31</v>
      </c>
      <c r="X22" s="395">
        <f>W22/$W$70*1000</f>
        <v>0.04</v>
      </c>
      <c r="Y22" s="410">
        <f t="shared" si="18"/>
        <v>0</v>
      </c>
      <c r="Z22" s="756">
        <f t="shared" si="17"/>
        <v>0</v>
      </c>
      <c r="AA22" s="373"/>
      <c r="AB22" s="373">
        <f>$E22/$E$70*$AB$70+0.01</f>
        <v>0.01</v>
      </c>
      <c r="AC22" s="395">
        <f>AB22/$AB$70*1000-0.12</f>
        <v>0.04</v>
      </c>
      <c r="AD22" s="986"/>
      <c r="AF22" s="684"/>
      <c r="AG22" s="684"/>
      <c r="AH22" s="685"/>
      <c r="AI22" s="685"/>
      <c r="AJ22" s="685"/>
      <c r="AK22" s="684"/>
      <c r="AL22" s="686"/>
      <c r="AM22" s="686"/>
      <c r="AN22" s="686"/>
      <c r="AQ22" s="679"/>
      <c r="AR22" s="679"/>
      <c r="AS22" s="679"/>
      <c r="AT22" s="679"/>
      <c r="AU22" s="679"/>
      <c r="AV22" s="679"/>
      <c r="AW22" s="679"/>
      <c r="AX22" s="679"/>
      <c r="AY22" s="679"/>
      <c r="AZ22" s="679"/>
      <c r="BA22" s="679"/>
      <c r="BB22" s="679"/>
      <c r="BC22" s="679"/>
      <c r="BD22" s="679"/>
      <c r="BE22" s="679"/>
      <c r="BF22" s="679"/>
      <c r="BG22" s="679"/>
      <c r="BH22" s="679"/>
      <c r="BI22" s="679"/>
      <c r="BJ22" s="679"/>
      <c r="BK22" s="679"/>
      <c r="BL22" s="679"/>
      <c r="BM22" s="679"/>
      <c r="BN22" s="679"/>
      <c r="BO22" s="679"/>
      <c r="BP22" s="679"/>
      <c r="BQ22" s="679"/>
      <c r="BR22" s="679"/>
      <c r="BS22" s="679"/>
      <c r="BT22" s="679"/>
      <c r="BU22" s="679"/>
      <c r="BV22" s="679"/>
      <c r="BW22" s="679"/>
      <c r="BX22" s="679"/>
      <c r="BY22" s="679"/>
      <c r="BZ22" s="679"/>
      <c r="CA22" s="679"/>
      <c r="CB22" s="679"/>
      <c r="CC22" s="679"/>
      <c r="CD22" s="679"/>
      <c r="CE22" s="679"/>
      <c r="CF22" s="679"/>
      <c r="CG22" s="679"/>
      <c r="CH22" s="679"/>
      <c r="CI22" s="679"/>
      <c r="CJ22" s="679"/>
      <c r="CK22" s="679"/>
      <c r="CL22" s="679"/>
      <c r="CM22" s="679"/>
      <c r="CN22" s="679"/>
      <c r="CO22" s="679"/>
      <c r="CP22" s="679"/>
      <c r="CQ22" s="679"/>
      <c r="CR22" s="679"/>
      <c r="CS22" s="679"/>
      <c r="CT22" s="679"/>
      <c r="CU22" s="679"/>
      <c r="CV22" s="679"/>
      <c r="CW22" s="679"/>
      <c r="CX22" s="679"/>
      <c r="CY22" s="679"/>
      <c r="CZ22" s="679"/>
      <c r="DA22" s="679"/>
      <c r="DB22" s="679"/>
      <c r="DC22" s="679"/>
      <c r="DD22" s="679"/>
      <c r="DE22" s="679"/>
      <c r="DF22" s="679"/>
      <c r="DG22" s="679"/>
      <c r="DH22" s="679"/>
      <c r="DI22" s="679"/>
    </row>
    <row r="23" spans="1:113" s="285" customFormat="1" ht="50.25" customHeight="1">
      <c r="A23" s="682" t="s">
        <v>40</v>
      </c>
      <c r="B23" s="891" t="s">
        <v>342</v>
      </c>
      <c r="C23" s="777">
        <f>SUM(C24:C25)</f>
        <v>15118.36</v>
      </c>
      <c r="D23" s="372">
        <f>SUM(D24:D25)</f>
        <v>14391.84</v>
      </c>
      <c r="E23" s="755">
        <f>SUM(E24:E25)</f>
        <v>18787.62</v>
      </c>
      <c r="F23" s="405">
        <f t="shared" si="0"/>
        <v>79.319999999999993</v>
      </c>
      <c r="G23" s="1001">
        <f>SUM(G24:G25)</f>
        <v>12716.26</v>
      </c>
      <c r="H23" s="755">
        <f>SUM(H24:H25)</f>
        <v>12302.67</v>
      </c>
      <c r="I23" s="755">
        <f>SUM(I24:I25)</f>
        <v>16641.57</v>
      </c>
      <c r="J23" s="755">
        <f t="shared" si="7"/>
        <v>81.06</v>
      </c>
      <c r="K23" s="755">
        <f>SUM(K24:K25)</f>
        <v>16132.41</v>
      </c>
      <c r="L23" s="1002">
        <f t="shared" si="8"/>
        <v>79.319999999999993</v>
      </c>
      <c r="M23" s="406">
        <f>SUM(M24:M25)</f>
        <v>2064.84</v>
      </c>
      <c r="N23" s="878">
        <f>SUM(N24:N25)</f>
        <v>1810.93</v>
      </c>
      <c r="O23" s="406">
        <f>SUM(O24:O25)</f>
        <v>2208.31</v>
      </c>
      <c r="P23" s="755">
        <f t="shared" si="9"/>
        <v>81.06</v>
      </c>
      <c r="Q23" s="755">
        <f>SUM(Q24:Q25)</f>
        <v>2102.4</v>
      </c>
      <c r="R23" s="405">
        <f t="shared" si="10"/>
        <v>79.31</v>
      </c>
      <c r="S23" s="406">
        <f>SUM(S24:S25)</f>
        <v>337.26</v>
      </c>
      <c r="T23" s="755">
        <f>SUM(T24:T25)</f>
        <v>278.24</v>
      </c>
      <c r="U23" s="755">
        <f>SUM(U24:U25)</f>
        <v>724.55</v>
      </c>
      <c r="V23" s="755">
        <f t="shared" si="11"/>
        <v>81.06</v>
      </c>
      <c r="W23" s="755">
        <f>SUM(W24:W25)</f>
        <v>547.97</v>
      </c>
      <c r="X23" s="393">
        <f t="shared" si="12"/>
        <v>79.31</v>
      </c>
      <c r="Y23" s="406">
        <f>SUM(Y24:Y25)</f>
        <v>3.46</v>
      </c>
      <c r="Z23" s="755">
        <f>SUM(Z24:Z25)</f>
        <v>3.25</v>
      </c>
      <c r="AA23" s="755">
        <v>81.06</v>
      </c>
      <c r="AB23" s="755">
        <f>SUM(AB24:AB25)</f>
        <v>4.84</v>
      </c>
      <c r="AC23" s="405">
        <f>SUM(AC24:AC25)</f>
        <v>79.31</v>
      </c>
      <c r="AD23" s="986">
        <f t="shared" si="4"/>
        <v>0</v>
      </c>
      <c r="AE23" s="412"/>
      <c r="AF23" s="447"/>
      <c r="AG23" s="447"/>
      <c r="AH23" s="445"/>
      <c r="AI23" s="445"/>
      <c r="AJ23" s="445"/>
      <c r="AK23" s="284"/>
      <c r="AL23" s="414"/>
      <c r="AM23" s="414"/>
      <c r="AN23" s="414"/>
    </row>
    <row r="24" spans="1:113" s="290" customFormat="1" ht="21.95" customHeight="1">
      <c r="A24" s="683" t="s">
        <v>343</v>
      </c>
      <c r="B24" s="893" t="s">
        <v>41</v>
      </c>
      <c r="C24" s="1007">
        <v>11114.75</v>
      </c>
      <c r="D24" s="874">
        <v>11833.49</v>
      </c>
      <c r="E24" s="373">
        <v>15399.69</v>
      </c>
      <c r="F24" s="408">
        <f t="shared" si="0"/>
        <v>65.010000000000005</v>
      </c>
      <c r="G24" s="761">
        <f>C24/$C$70*$G$70</f>
        <v>9348.77</v>
      </c>
      <c r="H24" s="756">
        <f>D24/$D$70*$H$70</f>
        <v>10115.700000000001</v>
      </c>
      <c r="I24" s="756">
        <v>13640.63</v>
      </c>
      <c r="J24" s="756">
        <f t="shared" si="7"/>
        <v>66.44</v>
      </c>
      <c r="K24" s="756">
        <f>$E24/$E$70*$K$70</f>
        <v>13223.29</v>
      </c>
      <c r="L24" s="1003">
        <f t="shared" si="8"/>
        <v>65.010000000000005</v>
      </c>
      <c r="M24" s="410">
        <f>C24/$C$70*$M$70</f>
        <v>1518.03</v>
      </c>
      <c r="N24" s="877">
        <f>D24/$D$70*$N$70</f>
        <v>1489.01</v>
      </c>
      <c r="O24" s="410">
        <v>1810.09</v>
      </c>
      <c r="P24" s="756">
        <f t="shared" si="9"/>
        <v>66.44</v>
      </c>
      <c r="Q24" s="756">
        <f>$E24/$E$70*$Q$70</f>
        <v>1723.28</v>
      </c>
      <c r="R24" s="408">
        <f t="shared" si="10"/>
        <v>65.010000000000005</v>
      </c>
      <c r="S24" s="410">
        <f>$C24/$C$70*$S$70</f>
        <v>247.95</v>
      </c>
      <c r="T24" s="756">
        <f>$D24/$D$70*$T$70</f>
        <v>228.78</v>
      </c>
      <c r="U24" s="756">
        <v>593.89</v>
      </c>
      <c r="V24" s="756">
        <f t="shared" si="11"/>
        <v>66.44</v>
      </c>
      <c r="W24" s="756">
        <f>$E24/$E$70*$W$70</f>
        <v>449.16</v>
      </c>
      <c r="X24" s="395">
        <f t="shared" si="12"/>
        <v>65.010000000000005</v>
      </c>
      <c r="Y24" s="410">
        <f>$C24/$C$70*$Y$70</f>
        <v>2.54</v>
      </c>
      <c r="Z24" s="756">
        <f>$D24/$D$70*$Z$70</f>
        <v>2.67</v>
      </c>
      <c r="AA24" s="756">
        <v>66.44</v>
      </c>
      <c r="AB24" s="373">
        <f>$E24/$E$70*$AB$70+0.01</f>
        <v>3.96</v>
      </c>
      <c r="AC24" s="395">
        <f>AB24/$AB$70*1000-0.09</f>
        <v>65.010000000000005</v>
      </c>
      <c r="AD24" s="986">
        <f t="shared" si="4"/>
        <v>0</v>
      </c>
      <c r="AE24" s="62"/>
      <c r="AF24" s="62"/>
      <c r="AG24" s="448"/>
      <c r="AH24" s="445"/>
      <c r="AI24" s="445"/>
      <c r="AJ24" s="445"/>
      <c r="AK24" s="289"/>
      <c r="AL24" s="415"/>
      <c r="AM24" s="445"/>
      <c r="AN24" s="445"/>
    </row>
    <row r="25" spans="1:113" s="288" customFormat="1" ht="21.95" customHeight="1">
      <c r="A25" s="683" t="s">
        <v>344</v>
      </c>
      <c r="B25" s="893" t="s">
        <v>45</v>
      </c>
      <c r="C25" s="1007">
        <v>4003.61</v>
      </c>
      <c r="D25" s="871">
        <v>2558.35</v>
      </c>
      <c r="E25" s="373">
        <v>3387.93</v>
      </c>
      <c r="F25" s="408">
        <f t="shared" si="0"/>
        <v>14.3</v>
      </c>
      <c r="G25" s="761">
        <f>C25/$C$70*$G$70</f>
        <v>3367.49</v>
      </c>
      <c r="H25" s="756">
        <f>D25/$D$70*$H$70</f>
        <v>2186.9699999999998</v>
      </c>
      <c r="I25" s="756">
        <v>3000.94</v>
      </c>
      <c r="J25" s="756">
        <f t="shared" si="7"/>
        <v>14.62</v>
      </c>
      <c r="K25" s="756">
        <f>$E25/$E$70*$K$70</f>
        <v>2909.12</v>
      </c>
      <c r="L25" s="1003">
        <f t="shared" si="8"/>
        <v>14.3</v>
      </c>
      <c r="M25" s="410">
        <f>C25/$C$70*$M$70</f>
        <v>546.80999999999995</v>
      </c>
      <c r="N25" s="877">
        <f>D25/$D$70*$N$70</f>
        <v>321.92</v>
      </c>
      <c r="O25" s="410">
        <v>398.22</v>
      </c>
      <c r="P25" s="756">
        <f t="shared" si="9"/>
        <v>14.62</v>
      </c>
      <c r="Q25" s="756">
        <f>$E25/$E$70*$Q$70</f>
        <v>379.12</v>
      </c>
      <c r="R25" s="408">
        <f t="shared" si="10"/>
        <v>14.3</v>
      </c>
      <c r="S25" s="410">
        <f>$C25/$C$70*$S$70</f>
        <v>89.31</v>
      </c>
      <c r="T25" s="756">
        <f>$D25/$D$70*$T$70</f>
        <v>49.46</v>
      </c>
      <c r="U25" s="756">
        <v>130.66</v>
      </c>
      <c r="V25" s="756">
        <f t="shared" si="11"/>
        <v>14.62</v>
      </c>
      <c r="W25" s="756">
        <f>$E25/$E$70*$W$70</f>
        <v>98.81</v>
      </c>
      <c r="X25" s="395">
        <f t="shared" si="12"/>
        <v>14.3</v>
      </c>
      <c r="Y25" s="410">
        <f>$C25/$C$70*$Y$70</f>
        <v>0.92</v>
      </c>
      <c r="Z25" s="756">
        <f>$D25/$D$70*$Z$70</f>
        <v>0.57999999999999996</v>
      </c>
      <c r="AA25" s="756">
        <v>14.62</v>
      </c>
      <c r="AB25" s="373">
        <f>$E25/$E$70*$AB$70+0.01</f>
        <v>0.88</v>
      </c>
      <c r="AC25" s="395">
        <f>AB25/$AB$70*1000-0.17</f>
        <v>14.3</v>
      </c>
      <c r="AD25" s="986">
        <f t="shared" si="4"/>
        <v>0</v>
      </c>
      <c r="AE25" s="412"/>
      <c r="AF25" s="412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/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/>
      <c r="DE25" s="287"/>
    </row>
    <row r="26" spans="1:113" s="288" customFormat="1" ht="21.95" customHeight="1">
      <c r="A26" s="682" t="s">
        <v>42</v>
      </c>
      <c r="B26" s="891" t="s">
        <v>43</v>
      </c>
      <c r="C26" s="777">
        <f>SUM(C27:C29)</f>
        <v>1775.23</v>
      </c>
      <c r="D26" s="372">
        <f>SUM(D27:D29)</f>
        <v>2260</v>
      </c>
      <c r="E26" s="372">
        <f>K26+Q26+W26+AB26</f>
        <v>1860.86</v>
      </c>
      <c r="F26" s="405">
        <f t="shared" si="0"/>
        <v>7.86</v>
      </c>
      <c r="G26" s="1001">
        <f>SUM(G27:G29)</f>
        <v>1493.17</v>
      </c>
      <c r="H26" s="755">
        <f>SUM(H27:H29)</f>
        <v>1931.93</v>
      </c>
      <c r="I26" s="755">
        <f>SUM(I27:I29)</f>
        <v>1187.98</v>
      </c>
      <c r="J26" s="755">
        <f>SUM(J27:J29)</f>
        <v>5.78</v>
      </c>
      <c r="K26" s="755">
        <f>SUM(K27:K29)</f>
        <v>1597.87</v>
      </c>
      <c r="L26" s="1002">
        <f t="shared" si="8"/>
        <v>7.86</v>
      </c>
      <c r="M26" s="406">
        <f t="shared" ref="M26:W26" si="24">SUM(M27:M29)</f>
        <v>242.46</v>
      </c>
      <c r="N26" s="878">
        <f t="shared" si="24"/>
        <v>284.38</v>
      </c>
      <c r="O26" s="406">
        <f t="shared" si="24"/>
        <v>157.63999999999999</v>
      </c>
      <c r="P26" s="755">
        <f t="shared" si="24"/>
        <v>5.78</v>
      </c>
      <c r="Q26" s="755">
        <f t="shared" si="24"/>
        <v>208.23</v>
      </c>
      <c r="R26" s="405">
        <f t="shared" si="24"/>
        <v>7.86</v>
      </c>
      <c r="S26" s="406">
        <f t="shared" si="24"/>
        <v>39.6</v>
      </c>
      <c r="T26" s="755">
        <f t="shared" si="24"/>
        <v>43.69</v>
      </c>
      <c r="U26" s="755">
        <f t="shared" si="24"/>
        <v>51.72</v>
      </c>
      <c r="V26" s="755">
        <f t="shared" si="24"/>
        <v>5.78</v>
      </c>
      <c r="W26" s="755">
        <f t="shared" si="24"/>
        <v>54.27</v>
      </c>
      <c r="X26" s="393">
        <f t="shared" si="12"/>
        <v>7.86</v>
      </c>
      <c r="Y26" s="406">
        <f>SUM(Y27:Y29)</f>
        <v>0.41</v>
      </c>
      <c r="Z26" s="755">
        <f>SUM(Z27:Z29)</f>
        <v>0.5</v>
      </c>
      <c r="AA26" s="755">
        <f>SUM(AA27:AA29)+0.01</f>
        <v>5.79</v>
      </c>
      <c r="AB26" s="755">
        <f>SUM(AB27:AB29)</f>
        <v>0.49</v>
      </c>
      <c r="AC26" s="393">
        <f>AC27+AC28+AC29</f>
        <v>7.86</v>
      </c>
      <c r="AD26" s="986">
        <f t="shared" si="4"/>
        <v>0</v>
      </c>
      <c r="AE26" s="412"/>
      <c r="AF26" s="412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  <c r="BV26" s="287"/>
      <c r="BW26" s="287"/>
      <c r="BX26" s="287"/>
      <c r="BY26" s="287"/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/>
      <c r="CK26" s="287"/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/>
      <c r="DB26" s="287"/>
      <c r="DC26" s="287"/>
      <c r="DD26" s="287"/>
      <c r="DE26" s="287"/>
    </row>
    <row r="27" spans="1:113" s="288" customFormat="1" ht="21.95" customHeight="1">
      <c r="A27" s="683" t="s">
        <v>46</v>
      </c>
      <c r="B27" s="893" t="s">
        <v>47</v>
      </c>
      <c r="C27" s="1007">
        <v>1210.3499999999999</v>
      </c>
      <c r="D27" s="871">
        <v>1035.25</v>
      </c>
      <c r="E27" s="373">
        <v>1002.93</v>
      </c>
      <c r="F27" s="408">
        <f t="shared" si="0"/>
        <v>4.2300000000000004</v>
      </c>
      <c r="G27" s="761">
        <f>C27/$C$70*$G$70</f>
        <v>1018.04</v>
      </c>
      <c r="H27" s="756">
        <f>D27/$D$70*$H$70</f>
        <v>884.97</v>
      </c>
      <c r="I27" s="373">
        <v>862.8</v>
      </c>
      <c r="J27" s="756">
        <f>I27/$I$70*1000</f>
        <v>4.2</v>
      </c>
      <c r="K27" s="756">
        <f>$E27/$E$70*$K$70</f>
        <v>861.19</v>
      </c>
      <c r="L27" s="1003">
        <f t="shared" si="8"/>
        <v>4.2300000000000004</v>
      </c>
      <c r="M27" s="410">
        <f>C27/$C$70*$M$70</f>
        <v>165.31</v>
      </c>
      <c r="N27" s="877">
        <f>D27/$D$70*$N$70</f>
        <v>130.27000000000001</v>
      </c>
      <c r="O27" s="407">
        <v>114.49</v>
      </c>
      <c r="P27" s="373">
        <f>O27/$O$70*1000</f>
        <v>4.2</v>
      </c>
      <c r="Q27" s="756">
        <f>$E27/$E$70*$Q$70</f>
        <v>112.23</v>
      </c>
      <c r="R27" s="408">
        <f>Q27/$Q$70*1000</f>
        <v>4.2300000000000004</v>
      </c>
      <c r="S27" s="410">
        <f>$C27/$C$70*$S$70</f>
        <v>27</v>
      </c>
      <c r="T27" s="756">
        <f>$D27/$D$70*$T$70</f>
        <v>20.010000000000002</v>
      </c>
      <c r="U27" s="756">
        <v>37.56</v>
      </c>
      <c r="V27" s="373">
        <f>U27/$U$70*1000</f>
        <v>4.2</v>
      </c>
      <c r="W27" s="756">
        <f>$E27/$E$70*$W$70</f>
        <v>29.25</v>
      </c>
      <c r="X27" s="395">
        <f t="shared" si="12"/>
        <v>4.2300000000000004</v>
      </c>
      <c r="Y27" s="410">
        <f>$C27/$C$70*$Y$70</f>
        <v>0.28000000000000003</v>
      </c>
      <c r="Z27" s="756">
        <f>$D27/$D$70*$Z$70</f>
        <v>0.23</v>
      </c>
      <c r="AA27" s="373">
        <v>4.2</v>
      </c>
      <c r="AB27" s="373">
        <f>$E27/$E$70*$AB$70</f>
        <v>0.26</v>
      </c>
      <c r="AC27" s="395">
        <f>AB27/$AB$70*1000-0.04</f>
        <v>4.2300000000000004</v>
      </c>
      <c r="AD27" s="986">
        <f t="shared" si="4"/>
        <v>0</v>
      </c>
      <c r="AE27" s="412"/>
      <c r="AF27" s="44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/>
      <c r="BO27" s="287"/>
      <c r="BP27" s="287"/>
      <c r="BQ27" s="287"/>
      <c r="BR27" s="287"/>
      <c r="BS27" s="287"/>
      <c r="BT27" s="287"/>
      <c r="BU27" s="287"/>
      <c r="BV27" s="287"/>
      <c r="BW27" s="287"/>
      <c r="BX27" s="287"/>
      <c r="BY27" s="287"/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/>
      <c r="CK27" s="287"/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/>
      <c r="DB27" s="287"/>
      <c r="DC27" s="287"/>
      <c r="DD27" s="287"/>
      <c r="DE27" s="287"/>
    </row>
    <row r="28" spans="1:113" s="288" customFormat="1" ht="21.95" customHeight="1">
      <c r="A28" s="683"/>
      <c r="B28" s="893" t="s">
        <v>446</v>
      </c>
      <c r="C28" s="1007">
        <v>230.17</v>
      </c>
      <c r="D28" s="820">
        <v>324.69</v>
      </c>
      <c r="E28" s="373">
        <f>444.42</f>
        <v>444.42</v>
      </c>
      <c r="F28" s="408">
        <f t="shared" si="0"/>
        <v>1.88</v>
      </c>
      <c r="G28" s="761">
        <f>C28/$C$70*$G$70</f>
        <v>193.6</v>
      </c>
      <c r="H28" s="756">
        <f>D28/$D$70*$H$70</f>
        <v>277.56</v>
      </c>
      <c r="I28" s="373"/>
      <c r="J28" s="756"/>
      <c r="K28" s="756">
        <f>$E28/$E$70*$K$70</f>
        <v>381.61</v>
      </c>
      <c r="L28" s="1003">
        <f t="shared" si="8"/>
        <v>1.88</v>
      </c>
      <c r="M28" s="410">
        <f>C28/$C$70*$M$70</f>
        <v>31.44</v>
      </c>
      <c r="N28" s="877">
        <f>D28/$D$70*$N$70</f>
        <v>40.86</v>
      </c>
      <c r="O28" s="407"/>
      <c r="P28" s="373"/>
      <c r="Q28" s="756">
        <f>$E28/$E$70*$Q$70</f>
        <v>49.73</v>
      </c>
      <c r="R28" s="408">
        <f>Q28/$Q$70*1000</f>
        <v>1.88</v>
      </c>
      <c r="S28" s="410">
        <f>$C28/$C$70*$S$70</f>
        <v>5.13</v>
      </c>
      <c r="T28" s="756">
        <f>$D28/$D$70*$T$70</f>
        <v>6.28</v>
      </c>
      <c r="U28" s="756"/>
      <c r="V28" s="373"/>
      <c r="W28" s="756">
        <f>$E28/$E$70*$W$70</f>
        <v>12.96</v>
      </c>
      <c r="X28" s="395">
        <f t="shared" si="12"/>
        <v>1.88</v>
      </c>
      <c r="Y28" s="410">
        <f>$C28/$C$70*$Y$70</f>
        <v>0.05</v>
      </c>
      <c r="Z28" s="756">
        <f>$D28/$D$70*$Z$70</f>
        <v>7.0000000000000007E-2</v>
      </c>
      <c r="AA28" s="373"/>
      <c r="AB28" s="373">
        <f>$E28/$E$70*$AB$70+0.01</f>
        <v>0.12</v>
      </c>
      <c r="AC28" s="395">
        <f>AB28/$AB$70*1000-0.09</f>
        <v>1.88</v>
      </c>
      <c r="AD28" s="986">
        <f t="shared" si="4"/>
        <v>0</v>
      </c>
      <c r="AE28" s="412"/>
      <c r="AF28" s="44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/>
      <c r="DE28" s="287"/>
    </row>
    <row r="29" spans="1:113" s="290" customFormat="1" ht="21.95" customHeight="1">
      <c r="A29" s="683" t="s">
        <v>48</v>
      </c>
      <c r="B29" s="893" t="s">
        <v>447</v>
      </c>
      <c r="C29" s="1007">
        <f>415.46-80.75</f>
        <v>334.71</v>
      </c>
      <c r="D29" s="820">
        <v>900.06</v>
      </c>
      <c r="E29" s="373">
        <v>413.51</v>
      </c>
      <c r="F29" s="408">
        <f t="shared" si="0"/>
        <v>1.75</v>
      </c>
      <c r="G29" s="761">
        <f>C29/$C$70*$G$70</f>
        <v>281.52999999999997</v>
      </c>
      <c r="H29" s="756">
        <f>D29/$D$70*$H$70</f>
        <v>769.4</v>
      </c>
      <c r="I29" s="373">
        <v>325.18</v>
      </c>
      <c r="J29" s="756">
        <f>I29/$I$70*1000</f>
        <v>1.58</v>
      </c>
      <c r="K29" s="756">
        <f>$E29/$E$70*$K$70</f>
        <v>355.07</v>
      </c>
      <c r="L29" s="1003">
        <f t="shared" si="8"/>
        <v>1.75</v>
      </c>
      <c r="M29" s="410">
        <f>C29/$C$70*$M$70</f>
        <v>45.71</v>
      </c>
      <c r="N29" s="877">
        <f>D29/$D$70*$N$70</f>
        <v>113.25</v>
      </c>
      <c r="O29" s="407">
        <f>'Додаток2 скор'!P34</f>
        <v>43.15</v>
      </c>
      <c r="P29" s="373">
        <f>O29/$O$70*1000</f>
        <v>1.58</v>
      </c>
      <c r="Q29" s="756">
        <f>$E29/$E$70*$Q$70</f>
        <v>46.27</v>
      </c>
      <c r="R29" s="408">
        <f>Q29/$Q$70*1000</f>
        <v>1.75</v>
      </c>
      <c r="S29" s="410">
        <f>$C29/$C$70*$S$70</f>
        <v>7.47</v>
      </c>
      <c r="T29" s="756">
        <f>$D29/$D$70*$T$70</f>
        <v>17.399999999999999</v>
      </c>
      <c r="U29" s="756">
        <v>14.16</v>
      </c>
      <c r="V29" s="373">
        <f>U29/$U$70*1000</f>
        <v>1.58</v>
      </c>
      <c r="W29" s="756">
        <f>$E29/$E$70*$W$70</f>
        <v>12.06</v>
      </c>
      <c r="X29" s="395">
        <f t="shared" si="12"/>
        <v>1.75</v>
      </c>
      <c r="Y29" s="410">
        <f>$C29/$C$70*$Y$70</f>
        <v>0.08</v>
      </c>
      <c r="Z29" s="756">
        <f>$D29/$D$70*$Z$70</f>
        <v>0.2</v>
      </c>
      <c r="AA29" s="373">
        <v>1.58</v>
      </c>
      <c r="AB29" s="373">
        <f>$E29/$E$70*$AB$70</f>
        <v>0.11</v>
      </c>
      <c r="AC29" s="395">
        <f>AB29/$AB$70*1000-0.06</f>
        <v>1.75</v>
      </c>
      <c r="AD29" s="986">
        <f t="shared" si="4"/>
        <v>0</v>
      </c>
      <c r="AE29" s="412"/>
      <c r="AF29" s="447"/>
      <c r="AG29" s="287"/>
      <c r="AH29" s="287"/>
      <c r="AI29" s="287"/>
    </row>
    <row r="30" spans="1:113" s="288" customFormat="1" ht="21.95" customHeight="1">
      <c r="A30" s="682" t="s">
        <v>50</v>
      </c>
      <c r="B30" s="891" t="s">
        <v>51</v>
      </c>
      <c r="C30" s="1008">
        <v>519.67999999999995</v>
      </c>
      <c r="D30" s="873">
        <f ca="1">D31+D38+D41+D42</f>
        <v>594.75</v>
      </c>
      <c r="E30" s="372">
        <f>E31+E38+E41+E42</f>
        <v>707.92</v>
      </c>
      <c r="F30" s="884">
        <f>F31+F38+F41+F42</f>
        <v>2.98</v>
      </c>
      <c r="G30" s="1004">
        <f ca="1">G31+G38+G41+G42</f>
        <v>25981.72</v>
      </c>
      <c r="H30" s="372">
        <f ca="1">H31+H38+H41+H42</f>
        <v>508.41</v>
      </c>
      <c r="I30" s="755">
        <f>I38+I42</f>
        <v>248.07</v>
      </c>
      <c r="J30" s="755">
        <f>J38+J42</f>
        <v>1.21</v>
      </c>
      <c r="K30" s="372">
        <f>K31+K38+K41+K42</f>
        <v>607.88</v>
      </c>
      <c r="L30" s="884">
        <f>L31+L38+L41+L42</f>
        <v>2.98</v>
      </c>
      <c r="M30" s="777">
        <f t="shared" ref="M30:R30" ca="1" si="25">M31+M38+M41+M42</f>
        <v>4218.8500000000004</v>
      </c>
      <c r="N30" s="822">
        <f t="shared" ca="1" si="25"/>
        <v>2.95</v>
      </c>
      <c r="O30" s="777">
        <f t="shared" si="25"/>
        <v>32.92</v>
      </c>
      <c r="P30" s="822">
        <f t="shared" si="25"/>
        <v>1.21</v>
      </c>
      <c r="Q30" s="372">
        <f t="shared" si="25"/>
        <v>79.23</v>
      </c>
      <c r="R30" s="884">
        <f t="shared" si="25"/>
        <v>2.98</v>
      </c>
      <c r="S30" s="777">
        <f t="shared" ref="S30:AC30" ca="1" si="26">S31+S38+S41+S42</f>
        <v>689.09</v>
      </c>
      <c r="T30" s="822">
        <f t="shared" ca="1" si="26"/>
        <v>2.95</v>
      </c>
      <c r="U30" s="372">
        <f t="shared" si="26"/>
        <v>10.8</v>
      </c>
      <c r="V30" s="822">
        <f t="shared" si="26"/>
        <v>1.21</v>
      </c>
      <c r="W30" s="372">
        <f t="shared" si="26"/>
        <v>20.63</v>
      </c>
      <c r="X30" s="884">
        <f t="shared" si="26"/>
        <v>2.98</v>
      </c>
      <c r="Y30" s="777">
        <f t="shared" ca="1" si="26"/>
        <v>7.05</v>
      </c>
      <c r="Z30" s="822">
        <f t="shared" ca="1" si="26"/>
        <v>2.95</v>
      </c>
      <c r="AA30" s="372">
        <f t="shared" si="26"/>
        <v>1.21</v>
      </c>
      <c r="AB30" s="372">
        <f t="shared" si="26"/>
        <v>0.18</v>
      </c>
      <c r="AC30" s="884">
        <f t="shared" si="26"/>
        <v>2.98</v>
      </c>
      <c r="AD30" s="986">
        <f t="shared" si="4"/>
        <v>0</v>
      </c>
      <c r="AE30" s="412"/>
      <c r="AF30" s="44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/>
      <c r="BD30" s="287"/>
      <c r="BE30" s="287"/>
      <c r="BF30" s="287"/>
      <c r="BG30" s="287"/>
      <c r="BH30" s="287"/>
      <c r="BI30" s="287"/>
      <c r="BJ30" s="287"/>
      <c r="BK30" s="287"/>
      <c r="BL30" s="287"/>
      <c r="BM30" s="287"/>
      <c r="BN30" s="287"/>
      <c r="BO30" s="287"/>
      <c r="BP30" s="287"/>
      <c r="BQ30" s="287"/>
      <c r="BR30" s="287"/>
      <c r="BS30" s="287"/>
      <c r="BT30" s="287"/>
      <c r="BU30" s="287"/>
      <c r="BV30" s="287"/>
      <c r="BW30" s="287"/>
      <c r="BX30" s="287"/>
      <c r="BY30" s="287"/>
      <c r="BZ30" s="287"/>
      <c r="CA30" s="287"/>
      <c r="CB30" s="287"/>
      <c r="CC30" s="287"/>
      <c r="CD30" s="287"/>
      <c r="CE30" s="287"/>
      <c r="CF30" s="287"/>
      <c r="CG30" s="287"/>
      <c r="CH30" s="287"/>
      <c r="CI30" s="287"/>
      <c r="CJ30" s="287"/>
      <c r="CK30" s="287"/>
      <c r="CL30" s="287"/>
      <c r="CM30" s="287"/>
      <c r="CN30" s="287"/>
      <c r="CO30" s="287"/>
      <c r="CP30" s="287"/>
      <c r="CQ30" s="287"/>
      <c r="CR30" s="287"/>
      <c r="CS30" s="287"/>
      <c r="CT30" s="287"/>
      <c r="CU30" s="287"/>
      <c r="CV30" s="287"/>
      <c r="CW30" s="287"/>
      <c r="CX30" s="287"/>
      <c r="CY30" s="287"/>
      <c r="CZ30" s="287"/>
      <c r="DA30" s="287"/>
      <c r="DB30" s="287"/>
      <c r="DC30" s="287"/>
      <c r="DD30" s="287"/>
      <c r="DE30" s="287"/>
    </row>
    <row r="31" spans="1:113" s="288" customFormat="1" ht="21.95" customHeight="1">
      <c r="A31" s="683" t="s">
        <v>52</v>
      </c>
      <c r="B31" s="897" t="s">
        <v>424</v>
      </c>
      <c r="C31" s="407">
        <f>SUM(C32:C34)</f>
        <v>330.53</v>
      </c>
      <c r="D31" s="868">
        <f>SUM(D32:D34)</f>
        <v>410.55</v>
      </c>
      <c r="E31" s="373">
        <f t="shared" ref="E31:AC31" si="27">SUM(E32:E34)</f>
        <v>453.01</v>
      </c>
      <c r="F31" s="409">
        <f t="shared" si="27"/>
        <v>1.91</v>
      </c>
      <c r="G31" s="762">
        <f t="shared" si="27"/>
        <v>278.01</v>
      </c>
      <c r="H31" s="373">
        <f t="shared" si="27"/>
        <v>350.96</v>
      </c>
      <c r="I31" s="373">
        <f t="shared" si="27"/>
        <v>0</v>
      </c>
      <c r="J31" s="373">
        <f t="shared" si="27"/>
        <v>0</v>
      </c>
      <c r="K31" s="373">
        <f t="shared" si="27"/>
        <v>388.99</v>
      </c>
      <c r="L31" s="778">
        <f>SUM(L32:L36)</f>
        <v>1.91</v>
      </c>
      <c r="M31" s="407">
        <f t="shared" si="27"/>
        <v>45.14</v>
      </c>
      <c r="N31" s="645">
        <f t="shared" si="27"/>
        <v>51.66</v>
      </c>
      <c r="O31" s="407">
        <f t="shared" si="27"/>
        <v>0</v>
      </c>
      <c r="P31" s="373">
        <f t="shared" si="27"/>
        <v>0</v>
      </c>
      <c r="Q31" s="373">
        <f t="shared" si="27"/>
        <v>50.7</v>
      </c>
      <c r="R31" s="408">
        <f t="shared" ref="R31:R37" si="28">Q31/$Q$70*1000</f>
        <v>1.91</v>
      </c>
      <c r="S31" s="407">
        <f t="shared" si="27"/>
        <v>7.37</v>
      </c>
      <c r="T31" s="373">
        <f t="shared" si="27"/>
        <v>7.93</v>
      </c>
      <c r="U31" s="373">
        <f t="shared" si="27"/>
        <v>0</v>
      </c>
      <c r="V31" s="373">
        <f t="shared" si="27"/>
        <v>0</v>
      </c>
      <c r="W31" s="373">
        <f t="shared" si="27"/>
        <v>13.21</v>
      </c>
      <c r="X31" s="409">
        <f t="shared" si="27"/>
        <v>1.91</v>
      </c>
      <c r="Y31" s="407">
        <f t="shared" si="27"/>
        <v>7.0000000000000007E-2</v>
      </c>
      <c r="Z31" s="373">
        <f t="shared" si="27"/>
        <v>0.09</v>
      </c>
      <c r="AA31" s="373">
        <f t="shared" si="27"/>
        <v>0</v>
      </c>
      <c r="AB31" s="373">
        <f t="shared" si="27"/>
        <v>0.11</v>
      </c>
      <c r="AC31" s="409">
        <f t="shared" si="27"/>
        <v>1.91</v>
      </c>
      <c r="AD31" s="986">
        <f t="shared" si="4"/>
        <v>0</v>
      </c>
      <c r="AE31" s="412"/>
      <c r="AF31" s="44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/>
      <c r="BG31" s="287"/>
      <c r="BH31" s="287"/>
      <c r="BI31" s="287"/>
      <c r="BJ31" s="287"/>
      <c r="BK31" s="287"/>
      <c r="BL31" s="287"/>
      <c r="BM31" s="287"/>
      <c r="BN31" s="287"/>
      <c r="BO31" s="287"/>
      <c r="BP31" s="287"/>
      <c r="BQ31" s="287"/>
      <c r="BR31" s="287"/>
      <c r="BS31" s="287"/>
      <c r="BT31" s="287"/>
      <c r="BU31" s="287"/>
      <c r="BV31" s="287"/>
      <c r="BW31" s="287"/>
      <c r="BX31" s="287"/>
      <c r="BY31" s="287"/>
      <c r="BZ31" s="287"/>
      <c r="CA31" s="287"/>
      <c r="CB31" s="287"/>
      <c r="CC31" s="287"/>
      <c r="CD31" s="287"/>
      <c r="CE31" s="287"/>
      <c r="CF31" s="287"/>
      <c r="CG31" s="287"/>
      <c r="CH31" s="287"/>
      <c r="CI31" s="287"/>
      <c r="CJ31" s="287"/>
      <c r="CK31" s="287"/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/>
      <c r="DB31" s="287"/>
      <c r="DC31" s="287"/>
      <c r="DD31" s="287"/>
      <c r="DE31" s="287"/>
    </row>
    <row r="32" spans="1:113" s="288" customFormat="1" ht="21.95" customHeight="1">
      <c r="A32" s="683" t="s">
        <v>346</v>
      </c>
      <c r="B32" s="893" t="s">
        <v>212</v>
      </c>
      <c r="C32" s="407">
        <v>326.29000000000002</v>
      </c>
      <c r="D32" s="868">
        <v>408.33</v>
      </c>
      <c r="E32" s="373">
        <f>132.61+318.81</f>
        <v>451.42</v>
      </c>
      <c r="F32" s="408">
        <f t="shared" ref="F32:F42" si="29">E32/$E$70*1000</f>
        <v>1.91</v>
      </c>
      <c r="G32" s="761">
        <f>C32/$C$70*$G$70</f>
        <v>274.45</v>
      </c>
      <c r="H32" s="756">
        <f>D32/$D$70*$H$70</f>
        <v>349.06</v>
      </c>
      <c r="I32" s="756"/>
      <c r="J32" s="756"/>
      <c r="K32" s="756">
        <f>$E32/$E$70*$K$70</f>
        <v>387.62</v>
      </c>
      <c r="L32" s="1003">
        <f t="shared" ref="L32:L42" si="30">K32/$K$70*1000</f>
        <v>1.91</v>
      </c>
      <c r="M32" s="410">
        <f>C32/$C$70*$M$70</f>
        <v>44.56</v>
      </c>
      <c r="N32" s="877">
        <f>D32/$D$70*$N$70</f>
        <v>51.38</v>
      </c>
      <c r="O32" s="410"/>
      <c r="P32" s="756"/>
      <c r="Q32" s="756">
        <f t="shared" ref="Q32:Q37" si="31">$E32/$E$70*$Q$70</f>
        <v>50.52</v>
      </c>
      <c r="R32" s="408">
        <f t="shared" si="28"/>
        <v>1.91</v>
      </c>
      <c r="S32" s="410">
        <f>$C32/$C$70*$S$70</f>
        <v>7.28</v>
      </c>
      <c r="T32" s="756">
        <f>$D32/$D$70*$T$70</f>
        <v>7.89</v>
      </c>
      <c r="U32" s="756"/>
      <c r="V32" s="756"/>
      <c r="W32" s="756">
        <f>$E32/$E$70*$W$70</f>
        <v>13.17</v>
      </c>
      <c r="X32" s="395">
        <f t="shared" ref="X32:X42" si="32">W32/$W$70*1000</f>
        <v>1.91</v>
      </c>
      <c r="Y32" s="410">
        <f>$C32/$C$70*$Y$70</f>
        <v>7.0000000000000007E-2</v>
      </c>
      <c r="Z32" s="756">
        <f>$D32/$D$70*$Z$70</f>
        <v>0.09</v>
      </c>
      <c r="AA32" s="756"/>
      <c r="AB32" s="373">
        <f>$E32/$E$70*$AB$70-0.01</f>
        <v>0.11</v>
      </c>
      <c r="AC32" s="395">
        <f>AB32/$AB$70*1000+0.1</f>
        <v>1.91</v>
      </c>
      <c r="AD32" s="986">
        <f t="shared" si="4"/>
        <v>0</v>
      </c>
      <c r="AE32" s="412"/>
      <c r="AF32" s="44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/>
      <c r="BO32" s="287"/>
      <c r="BP32" s="287"/>
      <c r="BQ32" s="287"/>
      <c r="BR32" s="287"/>
      <c r="BS32" s="287"/>
      <c r="BT32" s="287"/>
      <c r="BU32" s="287"/>
      <c r="BV32" s="287"/>
      <c r="BW32" s="287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7"/>
      <c r="CL32" s="287"/>
      <c r="CM32" s="287"/>
      <c r="CN32" s="287"/>
      <c r="CO32" s="287"/>
      <c r="CP32" s="287"/>
      <c r="CQ32" s="287"/>
      <c r="CR32" s="287"/>
      <c r="CS32" s="287"/>
      <c r="CT32" s="287"/>
      <c r="CU32" s="287"/>
      <c r="CV32" s="287"/>
      <c r="CW32" s="287"/>
      <c r="CX32" s="287"/>
      <c r="CY32" s="287"/>
      <c r="CZ32" s="287"/>
      <c r="DA32" s="287"/>
      <c r="DB32" s="287"/>
      <c r="DC32" s="287"/>
      <c r="DD32" s="287"/>
      <c r="DE32" s="287"/>
    </row>
    <row r="33" spans="1:109" s="288" customFormat="1" ht="21.95" customHeight="1">
      <c r="A33" s="683" t="s">
        <v>347</v>
      </c>
      <c r="B33" s="893" t="s">
        <v>422</v>
      </c>
      <c r="C33" s="407">
        <f>0.093+0.064</f>
        <v>0.16</v>
      </c>
      <c r="D33" s="868">
        <f>0.1+0.06</f>
        <v>0.16</v>
      </c>
      <c r="E33" s="373">
        <v>0.7</v>
      </c>
      <c r="F33" s="408">
        <f t="shared" si="29"/>
        <v>0</v>
      </c>
      <c r="G33" s="761">
        <f>C33/$C$70*$G$70</f>
        <v>0.13</v>
      </c>
      <c r="H33" s="756">
        <f>D33/$D$70*$H$70</f>
        <v>0.14000000000000001</v>
      </c>
      <c r="I33" s="756"/>
      <c r="J33" s="756"/>
      <c r="K33" s="756">
        <f>$E33/$E$70*$K$70</f>
        <v>0.6</v>
      </c>
      <c r="L33" s="1003">
        <f t="shared" si="30"/>
        <v>0</v>
      </c>
      <c r="M33" s="410">
        <f>C33/$C$70*$M$70</f>
        <v>0.02</v>
      </c>
      <c r="N33" s="877">
        <f>D33/$D$70*$N$70</f>
        <v>0.02</v>
      </c>
      <c r="O33" s="410"/>
      <c r="P33" s="756"/>
      <c r="Q33" s="756">
        <f t="shared" si="31"/>
        <v>0.08</v>
      </c>
      <c r="R33" s="408">
        <f t="shared" si="28"/>
        <v>0</v>
      </c>
      <c r="S33" s="410">
        <f>$C33/$C$70*$S$70</f>
        <v>0</v>
      </c>
      <c r="T33" s="756">
        <f>$D33/$D$70*$T$70</f>
        <v>0</v>
      </c>
      <c r="U33" s="756"/>
      <c r="V33" s="756"/>
      <c r="W33" s="756">
        <f>$E33/$E$70*$W$70</f>
        <v>0.02</v>
      </c>
      <c r="X33" s="395">
        <f t="shared" si="32"/>
        <v>0</v>
      </c>
      <c r="Y33" s="410">
        <f>$C33/$C$70*$Y$70</f>
        <v>0</v>
      </c>
      <c r="Z33" s="756">
        <f>$D33/$D$70*$Z$70</f>
        <v>0</v>
      </c>
      <c r="AA33" s="756"/>
      <c r="AB33" s="373">
        <f>$E33/$E$70*$AB$70</f>
        <v>0</v>
      </c>
      <c r="AC33" s="395">
        <f>AB33/$AB$70*1000</f>
        <v>0</v>
      </c>
      <c r="AD33" s="986">
        <f t="shared" si="4"/>
        <v>0</v>
      </c>
      <c r="AE33" s="412"/>
      <c r="AF33" s="44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287"/>
      <c r="BC33" s="287"/>
      <c r="BD33" s="287"/>
      <c r="BE33" s="287"/>
      <c r="BF33" s="287"/>
      <c r="BG33" s="287"/>
      <c r="BH33" s="287"/>
      <c r="BI33" s="287"/>
      <c r="BJ33" s="287"/>
      <c r="BK33" s="287"/>
      <c r="BL33" s="287"/>
      <c r="BM33" s="287"/>
      <c r="BN33" s="287"/>
      <c r="BO33" s="287"/>
      <c r="BP33" s="287"/>
      <c r="BQ33" s="287"/>
      <c r="BR33" s="287"/>
      <c r="BS33" s="287"/>
      <c r="BT33" s="287"/>
      <c r="BU33" s="287"/>
      <c r="BV33" s="287"/>
      <c r="BW33" s="287"/>
      <c r="BX33" s="287"/>
      <c r="BY33" s="287"/>
      <c r="BZ33" s="287"/>
      <c r="CA33" s="287"/>
      <c r="CB33" s="287"/>
      <c r="CC33" s="287"/>
      <c r="CD33" s="287"/>
      <c r="CE33" s="287"/>
      <c r="CF33" s="287"/>
      <c r="CG33" s="287"/>
      <c r="CH33" s="287"/>
      <c r="CI33" s="287"/>
      <c r="CJ33" s="287"/>
      <c r="CK33" s="287"/>
      <c r="CL33" s="287"/>
      <c r="CM33" s="287"/>
      <c r="CN33" s="287"/>
      <c r="CO33" s="287"/>
      <c r="CP33" s="287"/>
      <c r="CQ33" s="287"/>
      <c r="CR33" s="287"/>
      <c r="CS33" s="287"/>
      <c r="CT33" s="287"/>
      <c r="CU33" s="287"/>
      <c r="CV33" s="287"/>
      <c r="CW33" s="287"/>
      <c r="CX33" s="287"/>
      <c r="CY33" s="287"/>
      <c r="CZ33" s="287"/>
      <c r="DA33" s="287"/>
      <c r="DB33" s="287"/>
      <c r="DC33" s="287"/>
      <c r="DD33" s="287"/>
      <c r="DE33" s="287"/>
    </row>
    <row r="34" spans="1:109" s="288" customFormat="1" ht="21.95" customHeight="1">
      <c r="A34" s="683" t="s">
        <v>425</v>
      </c>
      <c r="B34" s="893" t="s">
        <v>443</v>
      </c>
      <c r="C34" s="407">
        <f>SUM(C35:C37)</f>
        <v>4.08</v>
      </c>
      <c r="D34" s="868">
        <f>SUM(D35:D37)</f>
        <v>2.06</v>
      </c>
      <c r="E34" s="373">
        <f>SUM(E35:E36)</f>
        <v>0.89</v>
      </c>
      <c r="F34" s="408">
        <f t="shared" si="29"/>
        <v>0</v>
      </c>
      <c r="G34" s="761">
        <f>C34/$C$70*$G$70</f>
        <v>3.43</v>
      </c>
      <c r="H34" s="756">
        <f>D34/$D$70*$H$70</f>
        <v>1.76</v>
      </c>
      <c r="I34" s="756"/>
      <c r="J34" s="756"/>
      <c r="K34" s="756">
        <f>SUM(K35:K36)</f>
        <v>0.77</v>
      </c>
      <c r="L34" s="1003">
        <f t="shared" si="30"/>
        <v>0</v>
      </c>
      <c r="M34" s="410">
        <f>C34/$C$70*$M$70</f>
        <v>0.56000000000000005</v>
      </c>
      <c r="N34" s="877">
        <f>D34/$D$70*$N$70</f>
        <v>0.26</v>
      </c>
      <c r="O34" s="410"/>
      <c r="P34" s="756"/>
      <c r="Q34" s="756">
        <f t="shared" si="31"/>
        <v>0.1</v>
      </c>
      <c r="R34" s="408">
        <f t="shared" si="28"/>
        <v>0</v>
      </c>
      <c r="S34" s="410">
        <f>$C34/$C$70*$S$70</f>
        <v>0.09</v>
      </c>
      <c r="T34" s="756">
        <f>$D34/$D$70*$T$70</f>
        <v>0.04</v>
      </c>
      <c r="U34" s="756"/>
      <c r="V34" s="756"/>
      <c r="W34" s="756">
        <f>SUM(W35:W36)</f>
        <v>0.02</v>
      </c>
      <c r="X34" s="395">
        <f t="shared" si="32"/>
        <v>0</v>
      </c>
      <c r="Y34" s="410">
        <f>$C34/$C$70*$Y$70</f>
        <v>0</v>
      </c>
      <c r="Z34" s="756">
        <f>$D34/$D$70*$Z$70</f>
        <v>0</v>
      </c>
      <c r="AA34" s="756"/>
      <c r="AB34" s="373">
        <f>AB35+AB36</f>
        <v>0</v>
      </c>
      <c r="AC34" s="409">
        <f>AC35+AC36</f>
        <v>0</v>
      </c>
      <c r="AD34" s="986">
        <f t="shared" si="4"/>
        <v>0</v>
      </c>
      <c r="AE34" s="412"/>
      <c r="AF34" s="44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/>
      <c r="BO34" s="287"/>
      <c r="BP34" s="287"/>
      <c r="BQ34" s="287"/>
      <c r="BR34" s="287"/>
      <c r="BS34" s="287"/>
      <c r="BT34" s="287"/>
      <c r="BU34" s="287"/>
      <c r="BV34" s="287"/>
      <c r="BW34" s="287"/>
      <c r="BX34" s="287"/>
      <c r="BY34" s="287"/>
      <c r="BZ34" s="287"/>
      <c r="CA34" s="287"/>
      <c r="CB34" s="287"/>
      <c r="CC34" s="287"/>
      <c r="CD34" s="287"/>
      <c r="CE34" s="287"/>
      <c r="CF34" s="287"/>
      <c r="CG34" s="287"/>
      <c r="CH34" s="287"/>
      <c r="CI34" s="287"/>
      <c r="CJ34" s="287"/>
      <c r="CK34" s="287"/>
      <c r="CL34" s="287"/>
      <c r="CM34" s="287"/>
      <c r="CN34" s="287"/>
      <c r="CO34" s="287"/>
      <c r="CP34" s="287"/>
      <c r="CQ34" s="287"/>
      <c r="CR34" s="287"/>
      <c r="CS34" s="287"/>
      <c r="CT34" s="287"/>
      <c r="CU34" s="287"/>
      <c r="CV34" s="287"/>
      <c r="CW34" s="287"/>
      <c r="CX34" s="287"/>
      <c r="CY34" s="287"/>
      <c r="CZ34" s="287"/>
      <c r="DA34" s="287"/>
      <c r="DB34" s="287"/>
      <c r="DC34" s="287"/>
      <c r="DD34" s="287"/>
      <c r="DE34" s="287"/>
    </row>
    <row r="35" spans="1:109" s="288" customFormat="1" ht="21.95" customHeight="1">
      <c r="A35" s="683"/>
      <c r="B35" s="896" t="s">
        <v>440</v>
      </c>
      <c r="C35" s="1009">
        <v>0.2</v>
      </c>
      <c r="D35" s="871"/>
      <c r="E35" s="373">
        <v>0.1</v>
      </c>
      <c r="F35" s="408">
        <f t="shared" si="29"/>
        <v>0</v>
      </c>
      <c r="G35" s="761">
        <f>C35/$C$70*$G$70</f>
        <v>0.17</v>
      </c>
      <c r="H35" s="756">
        <f>D35/$D$70*$H$70</f>
        <v>0</v>
      </c>
      <c r="I35" s="373"/>
      <c r="J35" s="756"/>
      <c r="K35" s="756">
        <f>$E35/$E$70*$K$70</f>
        <v>0.09</v>
      </c>
      <c r="L35" s="1003">
        <f t="shared" si="30"/>
        <v>0</v>
      </c>
      <c r="M35" s="410">
        <f>C35/$C$70*$M$70</f>
        <v>0.03</v>
      </c>
      <c r="N35" s="877">
        <f>D35/$D$70*$N$70</f>
        <v>0</v>
      </c>
      <c r="O35" s="407"/>
      <c r="P35" s="373"/>
      <c r="Q35" s="756">
        <f t="shared" si="31"/>
        <v>0.01</v>
      </c>
      <c r="R35" s="408">
        <f t="shared" si="28"/>
        <v>0</v>
      </c>
      <c r="S35" s="410">
        <f>$C35/$C$70*$S$70</f>
        <v>0</v>
      </c>
      <c r="T35" s="756">
        <f>$D35/$D$70*$T$70</f>
        <v>0</v>
      </c>
      <c r="U35" s="756"/>
      <c r="V35" s="373"/>
      <c r="W35" s="756">
        <f>$E35/$E$70*$W$70</f>
        <v>0</v>
      </c>
      <c r="X35" s="395">
        <f t="shared" si="32"/>
        <v>0</v>
      </c>
      <c r="Y35" s="410">
        <f>$C35/$C$70*$Y$70</f>
        <v>0</v>
      </c>
      <c r="Z35" s="756">
        <f>$D35/$D$70*$Z$70</f>
        <v>0</v>
      </c>
      <c r="AA35" s="373"/>
      <c r="AB35" s="373">
        <f>$E35/$E$70*$AB$70</f>
        <v>0</v>
      </c>
      <c r="AC35" s="395">
        <f>AB35/$AB$70*1000</f>
        <v>0</v>
      </c>
      <c r="AD35" s="986">
        <f t="shared" si="4"/>
        <v>0</v>
      </c>
      <c r="AE35" s="413"/>
      <c r="AF35" s="413"/>
      <c r="AG35" s="287"/>
      <c r="AH35" s="414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  <c r="BO35" s="287"/>
      <c r="BP35" s="287"/>
      <c r="BQ35" s="287"/>
      <c r="BR35" s="287"/>
      <c r="BS35" s="287"/>
      <c r="BT35" s="287"/>
      <c r="BU35" s="287"/>
      <c r="BV35" s="287"/>
      <c r="BW35" s="287"/>
      <c r="BX35" s="287"/>
      <c r="BY35" s="287"/>
      <c r="BZ35" s="287"/>
      <c r="CA35" s="287"/>
      <c r="CB35" s="287"/>
      <c r="CC35" s="287"/>
      <c r="CD35" s="287"/>
      <c r="CE35" s="287"/>
      <c r="CF35" s="287"/>
      <c r="CG35" s="287"/>
      <c r="CH35" s="287"/>
      <c r="CI35" s="287"/>
      <c r="CJ35" s="287"/>
      <c r="CK35" s="287"/>
      <c r="CL35" s="287"/>
      <c r="CM35" s="287"/>
      <c r="CN35" s="287"/>
      <c r="CO35" s="287"/>
      <c r="CP35" s="287"/>
      <c r="CQ35" s="287"/>
      <c r="CR35" s="287"/>
      <c r="CS35" s="287"/>
      <c r="CT35" s="287"/>
      <c r="CU35" s="287"/>
      <c r="CV35" s="287"/>
      <c r="CW35" s="287"/>
      <c r="CX35" s="287"/>
      <c r="CY35" s="287"/>
      <c r="CZ35" s="287"/>
      <c r="DA35" s="287"/>
      <c r="DB35" s="287"/>
      <c r="DC35" s="287"/>
      <c r="DD35" s="287"/>
      <c r="DE35" s="287"/>
    </row>
    <row r="36" spans="1:109" s="288" customFormat="1" ht="31.5" customHeight="1">
      <c r="A36" s="683"/>
      <c r="B36" s="895" t="s">
        <v>444</v>
      </c>
      <c r="C36" s="1007">
        <v>1.1599999999999999</v>
      </c>
      <c r="D36" s="868">
        <v>0</v>
      </c>
      <c r="E36" s="373">
        <v>0.79</v>
      </c>
      <c r="F36" s="408">
        <f t="shared" si="29"/>
        <v>0</v>
      </c>
      <c r="G36" s="761">
        <f>C36/$C$70*$G$70</f>
        <v>0.98</v>
      </c>
      <c r="H36" s="756">
        <f>D36/$D$70*$H$70</f>
        <v>0</v>
      </c>
      <c r="I36" s="756"/>
      <c r="J36" s="756"/>
      <c r="K36" s="756">
        <f>$E36/$E$70*$K$70</f>
        <v>0.68</v>
      </c>
      <c r="L36" s="1003">
        <f t="shared" si="30"/>
        <v>0</v>
      </c>
      <c r="M36" s="410">
        <f>C36/$C$70*$M$70</f>
        <v>0.16</v>
      </c>
      <c r="N36" s="877">
        <f>D36/$D$70*$N$70</f>
        <v>0</v>
      </c>
      <c r="O36" s="410"/>
      <c r="P36" s="756"/>
      <c r="Q36" s="756">
        <f t="shared" si="31"/>
        <v>0.09</v>
      </c>
      <c r="R36" s="408">
        <f t="shared" si="28"/>
        <v>0</v>
      </c>
      <c r="S36" s="410">
        <f>$C36/$C$70*$S$70</f>
        <v>0.03</v>
      </c>
      <c r="T36" s="756">
        <f>$D36/$D$70*$T$70</f>
        <v>0</v>
      </c>
      <c r="U36" s="756"/>
      <c r="V36" s="756"/>
      <c r="W36" s="756">
        <f>$E36/$E$70*$W$70</f>
        <v>0.02</v>
      </c>
      <c r="X36" s="395">
        <f t="shared" si="32"/>
        <v>0</v>
      </c>
      <c r="Y36" s="410">
        <f>$C36/$C$70*$Y$70</f>
        <v>0</v>
      </c>
      <c r="Z36" s="756">
        <f>$D36/$D$70*$Z$70</f>
        <v>0</v>
      </c>
      <c r="AA36" s="756"/>
      <c r="AB36" s="373">
        <f>$E36/$E$70*$AB$70</f>
        <v>0</v>
      </c>
      <c r="AC36" s="395">
        <f>AB36/$AB$70*1000</f>
        <v>0</v>
      </c>
      <c r="AD36" s="986">
        <f t="shared" si="4"/>
        <v>0</v>
      </c>
      <c r="AE36" s="412"/>
      <c r="AF36" s="44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  <c r="BO36" s="287"/>
      <c r="BP36" s="287"/>
      <c r="BQ36" s="287"/>
      <c r="BR36" s="287"/>
      <c r="BS36" s="287"/>
      <c r="BT36" s="287"/>
      <c r="BU36" s="287"/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/>
      <c r="DE36" s="287"/>
    </row>
    <row r="37" spans="1:109" s="865" customFormat="1" ht="31.5" hidden="1" customHeight="1">
      <c r="A37" s="683"/>
      <c r="B37" s="895" t="s">
        <v>454</v>
      </c>
      <c r="C37" s="1010">
        <v>2.72</v>
      </c>
      <c r="D37" s="870">
        <v>2.06</v>
      </c>
      <c r="E37" s="869">
        <v>1.9</v>
      </c>
      <c r="F37" s="408">
        <f t="shared" si="29"/>
        <v>0.01</v>
      </c>
      <c r="G37" s="761">
        <f>C22/$C$70*$G$70</f>
        <v>7.65</v>
      </c>
      <c r="H37" s="756">
        <f>D22/$D$70*$H$70</f>
        <v>8.02</v>
      </c>
      <c r="I37" s="756"/>
      <c r="J37" s="756"/>
      <c r="K37" s="756">
        <f>$E37/$E$70*$K$70</f>
        <v>1.63</v>
      </c>
      <c r="L37" s="1003">
        <f t="shared" si="30"/>
        <v>0.01</v>
      </c>
      <c r="M37" s="410">
        <f>C22/$C$70*$M$70</f>
        <v>1.24</v>
      </c>
      <c r="N37" s="877">
        <f>D22/$D$70*$N$70</f>
        <v>1.18</v>
      </c>
      <c r="O37" s="410"/>
      <c r="P37" s="756"/>
      <c r="Q37" s="756">
        <f t="shared" si="31"/>
        <v>0.21</v>
      </c>
      <c r="R37" s="408">
        <f t="shared" si="28"/>
        <v>0.01</v>
      </c>
      <c r="S37" s="410">
        <f>$C22/$C$70*$S$70</f>
        <v>0.2</v>
      </c>
      <c r="T37" s="756">
        <f>$D22/$D$70*$T$70</f>
        <v>0.18</v>
      </c>
      <c r="U37" s="756"/>
      <c r="V37" s="756"/>
      <c r="W37" s="756">
        <f>$E37/$E$70*$W$70</f>
        <v>0.06</v>
      </c>
      <c r="X37" s="395">
        <f t="shared" si="32"/>
        <v>0.01</v>
      </c>
      <c r="Y37" s="410">
        <f>$C22/$C$70*$Y$70</f>
        <v>0</v>
      </c>
      <c r="Z37" s="756">
        <f>$D22/$D$70*$Z$70</f>
        <v>0</v>
      </c>
      <c r="AA37" s="756"/>
      <c r="AB37" s="373">
        <f>$E37/$E$70*$AB$70</f>
        <v>0</v>
      </c>
      <c r="AC37" s="395">
        <f>AB37/$AB$70*1000+0.01</f>
        <v>0.01</v>
      </c>
      <c r="AD37" s="987">
        <f>K37+Q37+W37+AB37-E37</f>
        <v>0</v>
      </c>
      <c r="AF37" s="866"/>
      <c r="AG37" s="867"/>
      <c r="AH37" s="867"/>
      <c r="AI37" s="867"/>
      <c r="AJ37" s="867"/>
      <c r="AK37" s="867"/>
      <c r="AL37" s="867"/>
      <c r="AM37" s="867"/>
      <c r="AN37" s="867"/>
      <c r="AO37" s="867"/>
      <c r="AP37" s="867"/>
      <c r="AQ37" s="867"/>
      <c r="AR37" s="867"/>
      <c r="AS37" s="867"/>
      <c r="AT37" s="867"/>
      <c r="AU37" s="867"/>
      <c r="AV37" s="867"/>
      <c r="AW37" s="867"/>
      <c r="AX37" s="867"/>
      <c r="AY37" s="867"/>
      <c r="AZ37" s="867"/>
      <c r="BA37" s="867"/>
      <c r="BB37" s="867"/>
      <c r="BC37" s="867"/>
      <c r="BD37" s="867"/>
      <c r="BE37" s="867"/>
      <c r="BF37" s="867"/>
      <c r="BG37" s="867"/>
      <c r="BH37" s="867"/>
      <c r="BI37" s="867"/>
      <c r="BJ37" s="867"/>
      <c r="BK37" s="867"/>
      <c r="BL37" s="867"/>
      <c r="BM37" s="867"/>
      <c r="BN37" s="867"/>
      <c r="BO37" s="867"/>
      <c r="BP37" s="867"/>
      <c r="BQ37" s="867"/>
      <c r="BR37" s="867"/>
      <c r="BS37" s="867"/>
      <c r="BT37" s="867"/>
      <c r="BU37" s="867"/>
      <c r="BV37" s="867"/>
      <c r="BW37" s="867"/>
      <c r="BX37" s="867"/>
      <c r="BY37" s="867"/>
      <c r="BZ37" s="867"/>
      <c r="CA37" s="867"/>
      <c r="CB37" s="867"/>
      <c r="CC37" s="867"/>
      <c r="CD37" s="867"/>
      <c r="CE37" s="867"/>
      <c r="CF37" s="867"/>
      <c r="CG37" s="867"/>
      <c r="CH37" s="867"/>
      <c r="CI37" s="867"/>
      <c r="CJ37" s="867"/>
      <c r="CK37" s="867"/>
      <c r="CL37" s="867"/>
      <c r="CM37" s="867"/>
      <c r="CN37" s="867"/>
      <c r="CO37" s="867"/>
      <c r="CP37" s="867"/>
      <c r="CQ37" s="867"/>
      <c r="CR37" s="867"/>
      <c r="CS37" s="867"/>
      <c r="CT37" s="867"/>
      <c r="CU37" s="867"/>
      <c r="CV37" s="867"/>
      <c r="CW37" s="867"/>
      <c r="CX37" s="867"/>
      <c r="CY37" s="867"/>
      <c r="CZ37" s="867"/>
      <c r="DA37" s="867"/>
      <c r="DB37" s="867"/>
      <c r="DC37" s="867"/>
      <c r="DD37" s="867"/>
      <c r="DE37" s="867"/>
    </row>
    <row r="38" spans="1:109" s="288" customFormat="1" ht="47.25" customHeight="1">
      <c r="A38" s="683" t="s">
        <v>54</v>
      </c>
      <c r="B38" s="897" t="s">
        <v>345</v>
      </c>
      <c r="C38" s="818">
        <f>SUM(C39:C40)</f>
        <v>164.11</v>
      </c>
      <c r="D38" s="820">
        <f>SUM(D39:D40)</f>
        <v>159.44</v>
      </c>
      <c r="E38" s="286">
        <f>SUM(E39:E40)</f>
        <v>223.03</v>
      </c>
      <c r="F38" s="408">
        <f t="shared" si="29"/>
        <v>0.94</v>
      </c>
      <c r="G38" s="762">
        <f>G39+G40</f>
        <v>138.04</v>
      </c>
      <c r="H38" s="373">
        <f>H39+H40</f>
        <v>136.30000000000001</v>
      </c>
      <c r="I38" s="373">
        <f>I39+I40</f>
        <v>224.7</v>
      </c>
      <c r="J38" s="373">
        <f t="shared" ref="J38:AA38" si="33">J39+J40</f>
        <v>1.1000000000000001</v>
      </c>
      <c r="K38" s="373">
        <f t="shared" si="33"/>
        <v>191.51</v>
      </c>
      <c r="L38" s="1003">
        <f t="shared" si="30"/>
        <v>0.94</v>
      </c>
      <c r="M38" s="407">
        <f>M39+M40</f>
        <v>22.42</v>
      </c>
      <c r="N38" s="645">
        <f>N39+N40</f>
        <v>20.059999999999999</v>
      </c>
      <c r="O38" s="407">
        <f t="shared" si="33"/>
        <v>29.82</v>
      </c>
      <c r="P38" s="373">
        <f t="shared" si="33"/>
        <v>1.1000000000000001</v>
      </c>
      <c r="Q38" s="373">
        <f t="shared" si="33"/>
        <v>24.96</v>
      </c>
      <c r="R38" s="409">
        <f t="shared" si="33"/>
        <v>0.94</v>
      </c>
      <c r="S38" s="407">
        <f>S39+S40</f>
        <v>3.66</v>
      </c>
      <c r="T38" s="373">
        <f>T39+T40</f>
        <v>3.09</v>
      </c>
      <c r="U38" s="373">
        <f t="shared" si="33"/>
        <v>9.7799999999999994</v>
      </c>
      <c r="V38" s="373">
        <f t="shared" si="33"/>
        <v>1.1000000000000001</v>
      </c>
      <c r="W38" s="373">
        <f t="shared" si="33"/>
        <v>6.5</v>
      </c>
      <c r="X38" s="395">
        <f t="shared" si="32"/>
        <v>0.94</v>
      </c>
      <c r="Y38" s="407">
        <f>Y39+Y40</f>
        <v>0.04</v>
      </c>
      <c r="Z38" s="373">
        <f>Z39+Z40</f>
        <v>0.04</v>
      </c>
      <c r="AA38" s="373">
        <f t="shared" si="33"/>
        <v>1.1000000000000001</v>
      </c>
      <c r="AB38" s="373">
        <f>AB39+AB40</f>
        <v>0.06</v>
      </c>
      <c r="AC38" s="395">
        <f>AC39+AC40</f>
        <v>0.94</v>
      </c>
      <c r="AD38" s="986">
        <f t="shared" si="4"/>
        <v>0</v>
      </c>
      <c r="AE38" s="62"/>
      <c r="AF38" s="44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287"/>
      <c r="BU38" s="287"/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287"/>
      <c r="DA38" s="287"/>
      <c r="DB38" s="287"/>
      <c r="DC38" s="287"/>
      <c r="DD38" s="287"/>
      <c r="DE38" s="287"/>
    </row>
    <row r="39" spans="1:109" s="288" customFormat="1" ht="21.95" customHeight="1">
      <c r="A39" s="683" t="s">
        <v>430</v>
      </c>
      <c r="B39" s="898" t="s">
        <v>53</v>
      </c>
      <c r="C39" s="1011">
        <v>119.97</v>
      </c>
      <c r="D39" s="871">
        <v>130.69</v>
      </c>
      <c r="E39" s="373">
        <f>260.63*70.141%</f>
        <v>182.81</v>
      </c>
      <c r="F39" s="408">
        <f t="shared" si="29"/>
        <v>0.77</v>
      </c>
      <c r="G39" s="761">
        <f>C39/$C$70*$G$70</f>
        <v>100.91</v>
      </c>
      <c r="H39" s="756">
        <f>D39/$D$70*$H$70</f>
        <v>111.72</v>
      </c>
      <c r="I39" s="373">
        <v>184.18</v>
      </c>
      <c r="J39" s="756">
        <f>I39/$I$70*1000</f>
        <v>0.9</v>
      </c>
      <c r="K39" s="756">
        <f>$E39/$E$70*$K$70</f>
        <v>156.97</v>
      </c>
      <c r="L39" s="1003">
        <f t="shared" si="30"/>
        <v>0.77</v>
      </c>
      <c r="M39" s="410">
        <f>C39/$C$70*$M$70</f>
        <v>16.39</v>
      </c>
      <c r="N39" s="877">
        <f>D39/$D$70*$N$70</f>
        <v>16.440000000000001</v>
      </c>
      <c r="O39" s="407">
        <v>24.44</v>
      </c>
      <c r="P39" s="373">
        <f>O39/$O$70*1000</f>
        <v>0.9</v>
      </c>
      <c r="Q39" s="756">
        <f>$E39/$E$70*$Q$70</f>
        <v>20.46</v>
      </c>
      <c r="R39" s="408">
        <f>Q39/$Q$70*1000</f>
        <v>0.77</v>
      </c>
      <c r="S39" s="410">
        <f>$C39/$C$70*$S$70</f>
        <v>2.68</v>
      </c>
      <c r="T39" s="756">
        <f>$D39/$D$70*$T$70</f>
        <v>2.5299999999999998</v>
      </c>
      <c r="U39" s="756">
        <v>8.02</v>
      </c>
      <c r="V39" s="373">
        <f>U39/$U$70*1000</f>
        <v>0.9</v>
      </c>
      <c r="W39" s="756">
        <f>$E39/$E$70*$W$70</f>
        <v>5.33</v>
      </c>
      <c r="X39" s="395">
        <f t="shared" si="32"/>
        <v>0.77</v>
      </c>
      <c r="Y39" s="410">
        <f>$C39/$C$70*$Y$70</f>
        <v>0.03</v>
      </c>
      <c r="Z39" s="756">
        <f>$D39/$D$70*$Z$70</f>
        <v>0.03</v>
      </c>
      <c r="AA39" s="373">
        <v>0.9</v>
      </c>
      <c r="AB39" s="373">
        <f>$E39/$E$70*$AB$70</f>
        <v>0.05</v>
      </c>
      <c r="AC39" s="395">
        <f>AB39/$AB$70*1000-0.05</f>
        <v>0.77</v>
      </c>
      <c r="AD39" s="986">
        <f t="shared" si="4"/>
        <v>0</v>
      </c>
      <c r="AE39" s="412"/>
      <c r="AF39" s="412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  <c r="CI39" s="287"/>
      <c r="CJ39" s="287"/>
      <c r="CK39" s="287"/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/>
      <c r="DB39" s="287"/>
      <c r="DC39" s="287"/>
      <c r="DD39" s="287"/>
      <c r="DE39" s="287"/>
    </row>
    <row r="40" spans="1:109" s="290" customFormat="1" ht="21.95" customHeight="1">
      <c r="A40" s="683" t="s">
        <v>431</v>
      </c>
      <c r="B40" s="898" t="s">
        <v>45</v>
      </c>
      <c r="C40" s="1011">
        <v>44.14</v>
      </c>
      <c r="D40" s="871">
        <v>28.75</v>
      </c>
      <c r="E40" s="373">
        <f>57.34*70.141%</f>
        <v>40.22</v>
      </c>
      <c r="F40" s="408">
        <f t="shared" si="29"/>
        <v>0.17</v>
      </c>
      <c r="G40" s="761">
        <f>C40/$C$70*$G$70</f>
        <v>37.130000000000003</v>
      </c>
      <c r="H40" s="756">
        <f>D40/$D$70*$H$70</f>
        <v>24.58</v>
      </c>
      <c r="I40" s="373">
        <v>40.520000000000003</v>
      </c>
      <c r="J40" s="756">
        <f>I40/$I$70*1000</f>
        <v>0.2</v>
      </c>
      <c r="K40" s="756">
        <f>$E40/$E$70*$K$70</f>
        <v>34.54</v>
      </c>
      <c r="L40" s="1003">
        <f t="shared" si="30"/>
        <v>0.17</v>
      </c>
      <c r="M40" s="410">
        <f>C40/$C$70*$M$70</f>
        <v>6.03</v>
      </c>
      <c r="N40" s="877">
        <f>D40/$D$70*$N$70</f>
        <v>3.62</v>
      </c>
      <c r="O40" s="407">
        <v>5.38</v>
      </c>
      <c r="P40" s="373">
        <f>O40/$O$70*1000</f>
        <v>0.2</v>
      </c>
      <c r="Q40" s="756">
        <f>$E40/$E$70*$Q$70</f>
        <v>4.5</v>
      </c>
      <c r="R40" s="408">
        <f>Q40/$Q$70*1000</f>
        <v>0.17</v>
      </c>
      <c r="S40" s="410">
        <f>$C40/$C$70*$S$70</f>
        <v>0.98</v>
      </c>
      <c r="T40" s="756">
        <f>$D40/$D$70*$T$70</f>
        <v>0.56000000000000005</v>
      </c>
      <c r="U40" s="756">
        <v>1.76</v>
      </c>
      <c r="V40" s="373">
        <f>U40/$U$70*1000</f>
        <v>0.2</v>
      </c>
      <c r="W40" s="756">
        <f>$E40/$E$70*$W$70</f>
        <v>1.17</v>
      </c>
      <c r="X40" s="395">
        <f t="shared" si="32"/>
        <v>0.17</v>
      </c>
      <c r="Y40" s="410">
        <f>$C40/$C$70*$Y$70</f>
        <v>0.01</v>
      </c>
      <c r="Z40" s="756">
        <f>$D40/$D$70*$Z$70</f>
        <v>0.01</v>
      </c>
      <c r="AA40" s="373">
        <v>0.2</v>
      </c>
      <c r="AB40" s="373">
        <f>$E40/$E$70*$AB$70</f>
        <v>0.01</v>
      </c>
      <c r="AC40" s="395">
        <f>AB40/$AB$70*1000+0.01</f>
        <v>0.17</v>
      </c>
      <c r="AD40" s="986">
        <f t="shared" si="4"/>
        <v>0</v>
      </c>
      <c r="AE40" s="412"/>
      <c r="AF40" s="412"/>
      <c r="AG40" s="287"/>
      <c r="AH40" s="287"/>
      <c r="AI40" s="287"/>
    </row>
    <row r="41" spans="1:109" s="290" customFormat="1" ht="21.95" customHeight="1">
      <c r="A41" s="683" t="s">
        <v>55</v>
      </c>
      <c r="B41" s="897" t="s">
        <v>47</v>
      </c>
      <c r="C41" s="1011">
        <v>16.77</v>
      </c>
      <c r="D41" s="871">
        <v>17.52</v>
      </c>
      <c r="E41" s="373">
        <v>22.39</v>
      </c>
      <c r="F41" s="408">
        <f t="shared" si="29"/>
        <v>0.09</v>
      </c>
      <c r="G41" s="761">
        <f>C41/$C$70*$G$70</f>
        <v>14.11</v>
      </c>
      <c r="H41" s="756">
        <f>D41/$D$70*$H$70</f>
        <v>14.98</v>
      </c>
      <c r="I41" s="373"/>
      <c r="J41" s="756"/>
      <c r="K41" s="756">
        <f>$E41/$E$70*$K$70</f>
        <v>19.23</v>
      </c>
      <c r="L41" s="1003">
        <f t="shared" si="30"/>
        <v>0.09</v>
      </c>
      <c r="M41" s="410">
        <f>C41/$C$70*$M$70</f>
        <v>2.29</v>
      </c>
      <c r="N41" s="877">
        <f>D41/$D$70*$N$70</f>
        <v>2.2000000000000002</v>
      </c>
      <c r="O41" s="407"/>
      <c r="P41" s="373"/>
      <c r="Q41" s="756">
        <f>$E41/$E$70*$Q$70</f>
        <v>2.5099999999999998</v>
      </c>
      <c r="R41" s="408">
        <f>Q41/$Q$70*1000</f>
        <v>0.09</v>
      </c>
      <c r="S41" s="410">
        <f>$C41/$C$70*$S$70</f>
        <v>0.37</v>
      </c>
      <c r="T41" s="756">
        <f>$D41/$D$70*$T$70</f>
        <v>0.34</v>
      </c>
      <c r="U41" s="756"/>
      <c r="V41" s="373"/>
      <c r="W41" s="756">
        <f>$E41/$E$70*$W$70-0.01</f>
        <v>0.64</v>
      </c>
      <c r="X41" s="395">
        <f t="shared" si="32"/>
        <v>0.09</v>
      </c>
      <c r="Y41" s="410">
        <f>$C41/$C$70*$Y$70</f>
        <v>0</v>
      </c>
      <c r="Z41" s="756">
        <f>$D41/$D$70*$Z$70</f>
        <v>0</v>
      </c>
      <c r="AA41" s="373"/>
      <c r="AB41" s="373">
        <f>$E41/$E$70*$AB$70</f>
        <v>0.01</v>
      </c>
      <c r="AC41" s="395">
        <f>AB41/$AB$70*1000-0.07</f>
        <v>0.09</v>
      </c>
      <c r="AD41" s="986">
        <f t="shared" si="4"/>
        <v>0</v>
      </c>
      <c r="AE41" s="412"/>
      <c r="AF41" s="412"/>
      <c r="AG41" s="287"/>
      <c r="AH41" s="287"/>
      <c r="AI41" s="287"/>
    </row>
    <row r="42" spans="1:109" s="288" customFormat="1" ht="21.95" customHeight="1">
      <c r="A42" s="683" t="s">
        <v>432</v>
      </c>
      <c r="B42" s="899" t="s">
        <v>447</v>
      </c>
      <c r="C42" s="1007">
        <f ca="1">SUM(C35:C42)</f>
        <v>6.71</v>
      </c>
      <c r="D42" s="868">
        <f ca="1">SUM(D35:D42)</f>
        <v>6.86</v>
      </c>
      <c r="E42" s="373">
        <v>9.49</v>
      </c>
      <c r="F42" s="408">
        <f t="shared" si="29"/>
        <v>0.04</v>
      </c>
      <c r="G42" s="761">
        <f ca="1">C42/$C$70*$G$70</f>
        <v>2423.56</v>
      </c>
      <c r="H42" s="756">
        <f ca="1">D42/$D$70*$H$70</f>
        <v>5.86</v>
      </c>
      <c r="I42" s="373">
        <v>23.37</v>
      </c>
      <c r="J42" s="756">
        <f>I42/$I$70*1000</f>
        <v>0.11</v>
      </c>
      <c r="K42" s="756">
        <f>$E42/$E$70*$K$70</f>
        <v>8.15</v>
      </c>
      <c r="L42" s="1003">
        <f t="shared" si="30"/>
        <v>0.04</v>
      </c>
      <c r="M42" s="410">
        <f ca="1">C42/$C$70*$M$70</f>
        <v>393.53</v>
      </c>
      <c r="N42" s="877">
        <f ca="1">D42/$D$70*$N$70</f>
        <v>0.86</v>
      </c>
      <c r="O42" s="407">
        <v>3.1</v>
      </c>
      <c r="P42" s="373">
        <f>O42/$O$70*1000</f>
        <v>0.11</v>
      </c>
      <c r="Q42" s="756">
        <f>$E42/$E$70*$Q$70</f>
        <v>1.06</v>
      </c>
      <c r="R42" s="408">
        <f>Q42/$Q$70*1000</f>
        <v>0.04</v>
      </c>
      <c r="S42" s="410">
        <f ca="1">$C42/$C$70*$S$70</f>
        <v>64.28</v>
      </c>
      <c r="T42" s="756">
        <f ca="1">$D42/$D$70*$T$70</f>
        <v>0.13</v>
      </c>
      <c r="U42" s="756">
        <v>1.02</v>
      </c>
      <c r="V42" s="373">
        <f>U42/$U$70*1000</f>
        <v>0.11</v>
      </c>
      <c r="W42" s="756">
        <f>$E42/$E$70*$W$70</f>
        <v>0.28000000000000003</v>
      </c>
      <c r="X42" s="395">
        <f t="shared" si="32"/>
        <v>0.04</v>
      </c>
      <c r="Y42" s="410">
        <f ca="1">$C42/$C$70*$Y$70</f>
        <v>0.66</v>
      </c>
      <c r="Z42" s="756">
        <f ca="1">$D42/$D$70*$Z$70</f>
        <v>0</v>
      </c>
      <c r="AA42" s="373">
        <v>0.11</v>
      </c>
      <c r="AB42" s="373">
        <f>$E42/$E$70*$AB$70</f>
        <v>0</v>
      </c>
      <c r="AC42" s="395">
        <f>AB42/$AB$70*1000+0.04</f>
        <v>0.04</v>
      </c>
      <c r="AD42" s="986">
        <f t="shared" si="4"/>
        <v>0</v>
      </c>
      <c r="AE42" s="413"/>
      <c r="AF42" s="413"/>
      <c r="AG42" s="287"/>
      <c r="AH42" s="414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287"/>
      <c r="CK42" s="287"/>
      <c r="CL42" s="287"/>
      <c r="CM42" s="287"/>
      <c r="CN42" s="287"/>
      <c r="CO42" s="287"/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  <c r="CZ42" s="287"/>
      <c r="DA42" s="287"/>
      <c r="DB42" s="287"/>
      <c r="DC42" s="287"/>
      <c r="DD42" s="287"/>
      <c r="DE42" s="287"/>
    </row>
    <row r="43" spans="1:109" s="288" customFormat="1" ht="21.95" customHeight="1">
      <c r="A43" s="682" t="s">
        <v>57</v>
      </c>
      <c r="B43" s="891" t="s">
        <v>58</v>
      </c>
      <c r="C43" s="1012">
        <f t="shared" ref="C43:H43" si="34">C44+C52+C55+C56</f>
        <v>2469.3000000000002</v>
      </c>
      <c r="D43" s="372">
        <f t="shared" si="34"/>
        <v>2663.21</v>
      </c>
      <c r="E43" s="372">
        <f t="shared" si="34"/>
        <v>3495.31</v>
      </c>
      <c r="F43" s="763">
        <f t="shared" si="34"/>
        <v>14.74</v>
      </c>
      <c r="G43" s="1004">
        <f t="shared" si="34"/>
        <v>2076.98</v>
      </c>
      <c r="H43" s="372">
        <f t="shared" si="34"/>
        <v>2276.61</v>
      </c>
      <c r="I43" s="755">
        <f>I52+I56</f>
        <v>2919.6</v>
      </c>
      <c r="J43" s="755">
        <f>J52+J56</f>
        <v>14.22</v>
      </c>
      <c r="K43" s="372">
        <f>K44+K52+K55+K56</f>
        <v>3001.32</v>
      </c>
      <c r="L43" s="884">
        <f>L44+L52+L55+L56</f>
        <v>14.74</v>
      </c>
      <c r="M43" s="777">
        <f>M44+M52+M55+M56</f>
        <v>337.27</v>
      </c>
      <c r="N43" s="879">
        <f>N44+N52+N55+N56</f>
        <v>335.13</v>
      </c>
      <c r="O43" s="406">
        <f>O52+O56+0.01</f>
        <v>387.43</v>
      </c>
      <c r="P43" s="755">
        <f>P52+P56</f>
        <v>14.22</v>
      </c>
      <c r="Q43" s="372">
        <f>Q44+Q52+Q55+Q56</f>
        <v>391.12</v>
      </c>
      <c r="R43" s="763">
        <f>R44+R52+R55+R56</f>
        <v>14.74</v>
      </c>
      <c r="S43" s="777">
        <f>S44+S52+S55+S56</f>
        <v>55.07</v>
      </c>
      <c r="T43" s="763">
        <f>T44+T52+T55+T56</f>
        <v>49.83</v>
      </c>
      <c r="U43" s="755">
        <f>U52+U56-0.01</f>
        <v>127.11</v>
      </c>
      <c r="V43" s="755">
        <f>V52+V56</f>
        <v>14.22</v>
      </c>
      <c r="W43" s="372">
        <f t="shared" ref="W43:AC43" si="35">W44+W52+W55+W56</f>
        <v>101.95</v>
      </c>
      <c r="X43" s="763">
        <f t="shared" si="35"/>
        <v>14.74</v>
      </c>
      <c r="Y43" s="777">
        <f t="shared" si="35"/>
        <v>0.56999999999999995</v>
      </c>
      <c r="Z43" s="763">
        <f t="shared" si="35"/>
        <v>0.61</v>
      </c>
      <c r="AA43" s="372">
        <f t="shared" si="35"/>
        <v>14.22</v>
      </c>
      <c r="AB43" s="372">
        <f t="shared" si="35"/>
        <v>0.92</v>
      </c>
      <c r="AC43" s="763">
        <f t="shared" si="35"/>
        <v>14.74</v>
      </c>
      <c r="AD43" s="986">
        <f t="shared" si="4"/>
        <v>0</v>
      </c>
      <c r="AE43" s="413"/>
      <c r="AF43" s="413"/>
      <c r="AG43" s="285"/>
      <c r="AH43" s="414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/>
      <c r="BO43" s="287"/>
      <c r="BP43" s="287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  <c r="CI43" s="287"/>
      <c r="CJ43" s="287"/>
      <c r="CK43" s="287"/>
      <c r="CL43" s="287"/>
      <c r="CM43" s="287"/>
      <c r="CN43" s="287"/>
      <c r="CO43" s="287"/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/>
      <c r="DB43" s="287"/>
      <c r="DC43" s="287"/>
      <c r="DD43" s="287"/>
      <c r="DE43" s="287"/>
    </row>
    <row r="44" spans="1:109" s="288" customFormat="1" ht="21.95" customHeight="1">
      <c r="A44" s="683" t="s">
        <v>59</v>
      </c>
      <c r="B44" s="897" t="s">
        <v>424</v>
      </c>
      <c r="C44" s="1007">
        <f t="shared" ref="C44:H44" si="36">SUM(C45:C51)</f>
        <v>156.66999999999999</v>
      </c>
      <c r="D44" s="373">
        <f t="shared" si="36"/>
        <v>217.61</v>
      </c>
      <c r="E44" s="373">
        <f t="shared" si="36"/>
        <v>234.36</v>
      </c>
      <c r="F44" s="409">
        <f t="shared" si="36"/>
        <v>0.98</v>
      </c>
      <c r="G44" s="762">
        <f t="shared" si="36"/>
        <v>131.79</v>
      </c>
      <c r="H44" s="373">
        <f t="shared" si="36"/>
        <v>186.02</v>
      </c>
      <c r="I44" s="373"/>
      <c r="J44" s="373"/>
      <c r="K44" s="373">
        <f>SUM(K45:K51)</f>
        <v>201.23</v>
      </c>
      <c r="L44" s="778">
        <f>SUM(L45:L51)</f>
        <v>0.98</v>
      </c>
      <c r="M44" s="407">
        <f>SUM(M45:M51)</f>
        <v>21.41</v>
      </c>
      <c r="N44" s="645">
        <f>SUM(N45:N51)</f>
        <v>27.39</v>
      </c>
      <c r="O44" s="407"/>
      <c r="P44" s="373"/>
      <c r="Q44" s="373">
        <f>SUM(Q45:Q51)</f>
        <v>26.21</v>
      </c>
      <c r="R44" s="409">
        <f>SUM(R45:R51)</f>
        <v>0.98</v>
      </c>
      <c r="S44" s="407">
        <f>SUM(S45:S51)</f>
        <v>3.48</v>
      </c>
      <c r="T44" s="409">
        <f>SUM(T45:T51)</f>
        <v>4.18</v>
      </c>
      <c r="U44" s="373"/>
      <c r="V44" s="373"/>
      <c r="W44" s="373">
        <f>SUM(W45:W51)</f>
        <v>6.84</v>
      </c>
      <c r="X44" s="409">
        <f>SUM(X45:X51)</f>
        <v>0.98</v>
      </c>
      <c r="Y44" s="407">
        <f>SUM(Y45:Y51)</f>
        <v>0.04</v>
      </c>
      <c r="Z44" s="409">
        <f>SUM(Z45:Z51)</f>
        <v>0.05</v>
      </c>
      <c r="AA44" s="373"/>
      <c r="AB44" s="373">
        <f>SUM(AB45:AB51)</f>
        <v>0.08</v>
      </c>
      <c r="AC44" s="409">
        <f>SUM(AC45:AC51)</f>
        <v>0.98</v>
      </c>
      <c r="AD44" s="986">
        <f t="shared" si="4"/>
        <v>0</v>
      </c>
      <c r="AE44" s="412"/>
      <c r="AF44" s="447"/>
      <c r="AG44" s="287"/>
      <c r="AH44" s="287"/>
      <c r="AI44" s="287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/>
      <c r="BD44" s="287"/>
      <c r="BE44" s="287"/>
      <c r="BF44" s="287"/>
      <c r="BG44" s="287"/>
      <c r="BH44" s="287"/>
      <c r="BI44" s="287"/>
      <c r="BJ44" s="287"/>
      <c r="BK44" s="287"/>
      <c r="BL44" s="287"/>
      <c r="BM44" s="287"/>
      <c r="BN44" s="287"/>
      <c r="BO44" s="287"/>
      <c r="BP44" s="287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  <c r="CF44" s="287"/>
      <c r="CG44" s="287"/>
      <c r="CH44" s="287"/>
      <c r="CI44" s="287"/>
      <c r="CJ44" s="287"/>
      <c r="CK44" s="287"/>
      <c r="CL44" s="287"/>
      <c r="CM44" s="287"/>
      <c r="CN44" s="287"/>
      <c r="CO44" s="287"/>
      <c r="CP44" s="287"/>
      <c r="CQ44" s="287"/>
      <c r="CR44" s="287"/>
      <c r="CS44" s="287"/>
      <c r="CT44" s="287"/>
      <c r="CU44" s="287"/>
      <c r="CV44" s="287"/>
      <c r="CW44" s="287"/>
      <c r="CX44" s="287"/>
      <c r="CY44" s="287"/>
      <c r="CZ44" s="287"/>
      <c r="DA44" s="287"/>
      <c r="DB44" s="287"/>
      <c r="DC44" s="287"/>
      <c r="DD44" s="287"/>
      <c r="DE44" s="287"/>
    </row>
    <row r="45" spans="1:109" s="288" customFormat="1" ht="21.95" customHeight="1">
      <c r="A45" s="683" t="s">
        <v>348</v>
      </c>
      <c r="B45" s="893" t="s">
        <v>212</v>
      </c>
      <c r="C45" s="1007">
        <v>35.04</v>
      </c>
      <c r="D45" s="868">
        <v>46.17</v>
      </c>
      <c r="E45" s="756">
        <v>70.099999999999994</v>
      </c>
      <c r="F45" s="408">
        <f t="shared" ref="F45:F51" si="37">E45/$E$70*1000</f>
        <v>0.3</v>
      </c>
      <c r="G45" s="761">
        <f t="shared" ref="G45:G51" si="38">C45/$C$70*$G$70</f>
        <v>29.47</v>
      </c>
      <c r="H45" s="756">
        <f t="shared" ref="H45:H51" si="39">D45/$D$70*$H$70</f>
        <v>39.47</v>
      </c>
      <c r="I45" s="756"/>
      <c r="J45" s="756"/>
      <c r="K45" s="756">
        <f t="shared" ref="K45:K51" si="40">$E45/$E$70*$K$70</f>
        <v>60.19</v>
      </c>
      <c r="L45" s="1003">
        <f t="shared" ref="L45:L68" si="41">K45/$K$70*1000</f>
        <v>0.3</v>
      </c>
      <c r="M45" s="410">
        <f t="shared" ref="M45:M51" si="42">C45/$C$70*$M$70</f>
        <v>4.79</v>
      </c>
      <c r="N45" s="877">
        <f t="shared" ref="N45:N51" si="43">D45/$D$70*$N$70</f>
        <v>5.81</v>
      </c>
      <c r="O45" s="410"/>
      <c r="P45" s="756"/>
      <c r="Q45" s="756">
        <f>$E45/$E$70*$Q$70</f>
        <v>7.84</v>
      </c>
      <c r="R45" s="408">
        <f t="shared" ref="R45:R51" si="44">Q45/$Q$70*1000</f>
        <v>0.3</v>
      </c>
      <c r="S45" s="410">
        <f t="shared" ref="S45:S51" si="45">$C45/$C$70*$S$70</f>
        <v>0.78</v>
      </c>
      <c r="T45" s="756">
        <f>$D45/$D$70*$T$70</f>
        <v>0.89</v>
      </c>
      <c r="U45" s="756"/>
      <c r="V45" s="756"/>
      <c r="W45" s="756">
        <f>$E45/$E$70*$W$70+0.01</f>
        <v>2.0499999999999998</v>
      </c>
      <c r="X45" s="395">
        <f>W45/$W$70*1000</f>
        <v>0.3</v>
      </c>
      <c r="Y45" s="410">
        <f t="shared" ref="Y45:Y51" si="46">$C45/$C$70*$Y$70</f>
        <v>0.01</v>
      </c>
      <c r="Z45" s="756">
        <f t="shared" ref="Z45:Z51" si="47">$D45/$D$70*$Z$70</f>
        <v>0.01</v>
      </c>
      <c r="AA45" s="756"/>
      <c r="AB45" s="373">
        <f>$E45/$E$70*$AB$70</f>
        <v>0.02</v>
      </c>
      <c r="AC45" s="395">
        <f>AB45/$AB$70*1000-0.03</f>
        <v>0.3</v>
      </c>
      <c r="AD45" s="986">
        <f t="shared" si="4"/>
        <v>0</v>
      </c>
      <c r="AE45" s="412"/>
      <c r="AF45" s="44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  <c r="CF45" s="287"/>
      <c r="CG45" s="287"/>
      <c r="CH45" s="287"/>
      <c r="CI45" s="287"/>
      <c r="CJ45" s="287"/>
      <c r="CK45" s="287"/>
      <c r="CL45" s="287"/>
      <c r="CM45" s="287"/>
      <c r="CN45" s="287"/>
      <c r="CO45" s="287"/>
      <c r="CP45" s="287"/>
      <c r="CQ45" s="287"/>
      <c r="CR45" s="287"/>
      <c r="CS45" s="287"/>
      <c r="CT45" s="287"/>
      <c r="CU45" s="287"/>
      <c r="CV45" s="287"/>
      <c r="CW45" s="287"/>
      <c r="CX45" s="287"/>
      <c r="CY45" s="287"/>
      <c r="CZ45" s="287"/>
      <c r="DA45" s="287"/>
      <c r="DB45" s="287"/>
      <c r="DC45" s="287"/>
      <c r="DD45" s="287"/>
      <c r="DE45" s="287"/>
    </row>
    <row r="46" spans="1:109" s="288" customFormat="1" ht="21.95" customHeight="1">
      <c r="A46" s="683" t="s">
        <v>349</v>
      </c>
      <c r="B46" s="893" t="s">
        <v>422</v>
      </c>
      <c r="C46" s="1007">
        <f>0.86+0.59</f>
        <v>1.45</v>
      </c>
      <c r="D46" s="868">
        <f>0.65+0.42</f>
        <v>1.07</v>
      </c>
      <c r="E46" s="756">
        <v>4.5599999999999996</v>
      </c>
      <c r="F46" s="408">
        <f t="shared" si="37"/>
        <v>0.02</v>
      </c>
      <c r="G46" s="410">
        <f t="shared" si="38"/>
        <v>1.22</v>
      </c>
      <c r="H46" s="756">
        <f t="shared" si="39"/>
        <v>0.91</v>
      </c>
      <c r="I46" s="756"/>
      <c r="J46" s="756"/>
      <c r="K46" s="756">
        <f t="shared" si="40"/>
        <v>3.92</v>
      </c>
      <c r="L46" s="1003">
        <f t="shared" si="41"/>
        <v>0.02</v>
      </c>
      <c r="M46" s="410">
        <f t="shared" si="42"/>
        <v>0.2</v>
      </c>
      <c r="N46" s="877">
        <f t="shared" si="43"/>
        <v>0.13</v>
      </c>
      <c r="O46" s="410"/>
      <c r="P46" s="756"/>
      <c r="Q46" s="756">
        <f>$E46/$E$70*$Q$70</f>
        <v>0.51</v>
      </c>
      <c r="R46" s="408">
        <f t="shared" si="44"/>
        <v>0.02</v>
      </c>
      <c r="S46" s="410">
        <f t="shared" si="45"/>
        <v>0.03</v>
      </c>
      <c r="T46" s="756">
        <f>$D46/$D$70*$T$70</f>
        <v>0.02</v>
      </c>
      <c r="U46" s="756"/>
      <c r="V46" s="756"/>
      <c r="W46" s="756">
        <f>$E46/$E$70*$W$70</f>
        <v>0.13</v>
      </c>
      <c r="X46" s="395">
        <f>W46/$W$70*1000</f>
        <v>0.02</v>
      </c>
      <c r="Y46" s="410">
        <f t="shared" si="46"/>
        <v>0</v>
      </c>
      <c r="Z46" s="756">
        <f t="shared" si="47"/>
        <v>0</v>
      </c>
      <c r="AA46" s="756"/>
      <c r="AB46" s="373">
        <f>$E46/$E$70*$AB$70</f>
        <v>0</v>
      </c>
      <c r="AC46" s="395">
        <f>AB46/$AB$70*1000+0.02</f>
        <v>0.02</v>
      </c>
      <c r="AD46" s="986">
        <f t="shared" si="4"/>
        <v>0</v>
      </c>
      <c r="AE46" s="412"/>
      <c r="AF46" s="44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  <c r="CF46" s="287"/>
      <c r="CG46" s="287"/>
      <c r="CH46" s="287"/>
      <c r="CI46" s="287"/>
      <c r="CJ46" s="287"/>
      <c r="CK46" s="287"/>
      <c r="CL46" s="287"/>
      <c r="CM46" s="287"/>
      <c r="CN46" s="287"/>
      <c r="CO46" s="287"/>
      <c r="CP46" s="287"/>
      <c r="CQ46" s="287"/>
      <c r="CR46" s="287"/>
      <c r="CS46" s="287"/>
      <c r="CT46" s="287"/>
      <c r="CU46" s="287"/>
      <c r="CV46" s="287"/>
      <c r="CW46" s="287"/>
      <c r="CX46" s="287"/>
      <c r="CY46" s="287"/>
      <c r="CZ46" s="287"/>
      <c r="DA46" s="287"/>
      <c r="DB46" s="287"/>
      <c r="DC46" s="287"/>
      <c r="DD46" s="287"/>
      <c r="DE46" s="287"/>
    </row>
    <row r="47" spans="1:109" s="288" customFormat="1" ht="21.95" customHeight="1">
      <c r="A47" s="683"/>
      <c r="B47" s="893" t="s">
        <v>441</v>
      </c>
      <c r="C47" s="1007">
        <v>15.81</v>
      </c>
      <c r="D47" s="868">
        <v>61.49</v>
      </c>
      <c r="E47" s="756">
        <v>22.5</v>
      </c>
      <c r="F47" s="408">
        <f t="shared" si="37"/>
        <v>0.09</v>
      </c>
      <c r="G47" s="410">
        <f t="shared" si="38"/>
        <v>13.3</v>
      </c>
      <c r="H47" s="756">
        <f t="shared" si="39"/>
        <v>52.56</v>
      </c>
      <c r="I47" s="756"/>
      <c r="J47" s="756"/>
      <c r="K47" s="756">
        <f t="shared" si="40"/>
        <v>19.32</v>
      </c>
      <c r="L47" s="1003">
        <f t="shared" si="41"/>
        <v>0.09</v>
      </c>
      <c r="M47" s="410">
        <f t="shared" si="42"/>
        <v>2.16</v>
      </c>
      <c r="N47" s="877">
        <f t="shared" si="43"/>
        <v>7.74</v>
      </c>
      <c r="O47" s="410"/>
      <c r="P47" s="756"/>
      <c r="Q47" s="756">
        <f>$E47/$E$70*$Q$70-0.01</f>
        <v>2.5099999999999998</v>
      </c>
      <c r="R47" s="408">
        <f t="shared" si="44"/>
        <v>0.09</v>
      </c>
      <c r="S47" s="410">
        <f t="shared" si="45"/>
        <v>0.35</v>
      </c>
      <c r="T47" s="756">
        <f>$D47/$D$70*$T$70</f>
        <v>1.19</v>
      </c>
      <c r="U47" s="756"/>
      <c r="V47" s="756"/>
      <c r="W47" s="756">
        <f>$E47/$E$70*$W$70</f>
        <v>0.66</v>
      </c>
      <c r="X47" s="395">
        <f>W47/$W$70*1000-0.01</f>
        <v>0.09</v>
      </c>
      <c r="Y47" s="410">
        <f t="shared" si="46"/>
        <v>0</v>
      </c>
      <c r="Z47" s="756">
        <f t="shared" si="47"/>
        <v>0.01</v>
      </c>
      <c r="AA47" s="756"/>
      <c r="AB47" s="373">
        <f>$E47/$E$70*$AB$70</f>
        <v>0.01</v>
      </c>
      <c r="AC47" s="395">
        <f>AB47/$AB$70*1000-0.07</f>
        <v>0.09</v>
      </c>
      <c r="AD47" s="986">
        <f t="shared" si="4"/>
        <v>0</v>
      </c>
      <c r="AE47" s="412"/>
      <c r="AF47" s="44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/>
      <c r="BG47" s="287"/>
      <c r="BH47" s="287"/>
      <c r="BI47" s="287"/>
      <c r="BJ47" s="287"/>
      <c r="BK47" s="287"/>
      <c r="BL47" s="287"/>
      <c r="BM47" s="287"/>
      <c r="BN47" s="287"/>
      <c r="BO47" s="287"/>
      <c r="BP47" s="287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  <c r="CF47" s="287"/>
      <c r="CG47" s="287"/>
      <c r="CH47" s="287"/>
      <c r="CI47" s="287"/>
      <c r="CJ47" s="287"/>
      <c r="CK47" s="287"/>
      <c r="CL47" s="287"/>
      <c r="CM47" s="287"/>
      <c r="CN47" s="287"/>
      <c r="CO47" s="287"/>
      <c r="CP47" s="287"/>
      <c r="CQ47" s="287"/>
      <c r="CR47" s="287"/>
      <c r="CS47" s="287"/>
      <c r="CT47" s="287"/>
      <c r="CU47" s="287"/>
      <c r="CV47" s="287"/>
      <c r="CW47" s="287"/>
      <c r="CX47" s="287"/>
      <c r="CY47" s="287"/>
      <c r="CZ47" s="287"/>
      <c r="DA47" s="287"/>
      <c r="DB47" s="287"/>
      <c r="DC47" s="287"/>
      <c r="DD47" s="287"/>
      <c r="DE47" s="287"/>
    </row>
    <row r="48" spans="1:109" s="288" customFormat="1" ht="21.95" customHeight="1">
      <c r="A48" s="683"/>
      <c r="B48" s="893" t="s">
        <v>440</v>
      </c>
      <c r="C48" s="1011">
        <v>1.9</v>
      </c>
      <c r="D48" s="871">
        <v>3.02</v>
      </c>
      <c r="E48" s="373">
        <v>10.1</v>
      </c>
      <c r="F48" s="408">
        <f t="shared" si="37"/>
        <v>0.04</v>
      </c>
      <c r="G48" s="410">
        <f t="shared" si="38"/>
        <v>1.6</v>
      </c>
      <c r="H48" s="756">
        <f t="shared" si="39"/>
        <v>2.58</v>
      </c>
      <c r="I48" s="373"/>
      <c r="J48" s="756"/>
      <c r="K48" s="756">
        <f t="shared" si="40"/>
        <v>8.67</v>
      </c>
      <c r="L48" s="742">
        <f t="shared" si="41"/>
        <v>0.04</v>
      </c>
      <c r="M48" s="410">
        <f t="shared" si="42"/>
        <v>0.26</v>
      </c>
      <c r="N48" s="877">
        <f t="shared" si="43"/>
        <v>0.38</v>
      </c>
      <c r="O48" s="407"/>
      <c r="P48" s="373"/>
      <c r="Q48" s="756">
        <f t="shared" ref="Q48:Q56" si="48">$E48/$E$70*$Q$70</f>
        <v>1.1299999999999999</v>
      </c>
      <c r="R48" s="408">
        <f t="shared" si="44"/>
        <v>0.04</v>
      </c>
      <c r="S48" s="410">
        <f t="shared" si="45"/>
        <v>0.04</v>
      </c>
      <c r="T48" s="756">
        <f>$C48/$C$70*$S$70</f>
        <v>0.04</v>
      </c>
      <c r="U48" s="756"/>
      <c r="V48" s="373"/>
      <c r="W48" s="756">
        <f>$E48/$E$70*$W$70</f>
        <v>0.28999999999999998</v>
      </c>
      <c r="X48" s="395">
        <f t="shared" ref="X48:X59" si="49">W48/$W$70*1000</f>
        <v>0.04</v>
      </c>
      <c r="Y48" s="410">
        <f t="shared" si="46"/>
        <v>0</v>
      </c>
      <c r="Z48" s="756">
        <f t="shared" si="47"/>
        <v>0</v>
      </c>
      <c r="AA48" s="373"/>
      <c r="AB48" s="373">
        <f>$E48/$E$70*$AB$70+0.01</f>
        <v>0.01</v>
      </c>
      <c r="AC48" s="395">
        <f>AB48/$AB$70*1000-0.12</f>
        <v>0.04</v>
      </c>
      <c r="AD48" s="986">
        <f t="shared" si="4"/>
        <v>0</v>
      </c>
      <c r="AE48" s="290"/>
      <c r="AF48" s="290"/>
      <c r="AG48" s="290"/>
      <c r="AH48" s="290"/>
      <c r="AI48" s="290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/>
      <c r="BG48" s="287"/>
      <c r="BH48" s="287"/>
      <c r="BI48" s="287"/>
      <c r="BJ48" s="287"/>
      <c r="BK48" s="287"/>
      <c r="BL48" s="287"/>
      <c r="BM48" s="287"/>
      <c r="BN48" s="287"/>
      <c r="BO48" s="287"/>
      <c r="BP48" s="287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  <c r="CI48" s="287"/>
      <c r="CJ48" s="287"/>
      <c r="CK48" s="287"/>
      <c r="CL48" s="287"/>
      <c r="CM48" s="287"/>
      <c r="CN48" s="287"/>
      <c r="CO48" s="287"/>
      <c r="CP48" s="287"/>
      <c r="CQ48" s="287"/>
      <c r="CR48" s="287"/>
      <c r="CS48" s="287"/>
      <c r="CT48" s="287"/>
      <c r="CU48" s="287"/>
      <c r="CV48" s="287"/>
      <c r="CW48" s="287"/>
      <c r="CX48" s="287"/>
      <c r="CY48" s="287"/>
      <c r="CZ48" s="287"/>
      <c r="DA48" s="287"/>
      <c r="DB48" s="287"/>
      <c r="DC48" s="287"/>
      <c r="DD48" s="287"/>
      <c r="DE48" s="287"/>
    </row>
    <row r="49" spans="1:109" s="288" customFormat="1" ht="21.95" customHeight="1">
      <c r="A49" s="683"/>
      <c r="B49" s="894" t="s">
        <v>442</v>
      </c>
      <c r="C49" s="1007">
        <v>70.709999999999994</v>
      </c>
      <c r="D49" s="868">
        <v>78.56</v>
      </c>
      <c r="E49" s="756">
        <v>109.5</v>
      </c>
      <c r="F49" s="408">
        <f t="shared" si="37"/>
        <v>0.46</v>
      </c>
      <c r="G49" s="410">
        <f t="shared" si="38"/>
        <v>59.48</v>
      </c>
      <c r="H49" s="756">
        <f t="shared" si="39"/>
        <v>67.16</v>
      </c>
      <c r="I49" s="756"/>
      <c r="J49" s="756"/>
      <c r="K49" s="756">
        <f t="shared" si="40"/>
        <v>94.02</v>
      </c>
      <c r="L49" s="1003">
        <f t="shared" si="41"/>
        <v>0.46</v>
      </c>
      <c r="M49" s="410">
        <f t="shared" si="42"/>
        <v>9.66</v>
      </c>
      <c r="N49" s="877">
        <f t="shared" si="43"/>
        <v>9.89</v>
      </c>
      <c r="O49" s="410"/>
      <c r="P49" s="756"/>
      <c r="Q49" s="756">
        <f t="shared" si="48"/>
        <v>12.25</v>
      </c>
      <c r="R49" s="408">
        <f t="shared" si="44"/>
        <v>0.46</v>
      </c>
      <c r="S49" s="410">
        <f t="shared" si="45"/>
        <v>1.58</v>
      </c>
      <c r="T49" s="756">
        <f>$D49/$D$70*$T$70</f>
        <v>1.52</v>
      </c>
      <c r="U49" s="756"/>
      <c r="V49" s="756"/>
      <c r="W49" s="756">
        <f>$E49/$E$70*$W$70+0.01</f>
        <v>3.2</v>
      </c>
      <c r="X49" s="395">
        <f t="shared" si="49"/>
        <v>0.46</v>
      </c>
      <c r="Y49" s="410">
        <f t="shared" si="46"/>
        <v>0.02</v>
      </c>
      <c r="Z49" s="756">
        <f t="shared" si="47"/>
        <v>0.02</v>
      </c>
      <c r="AA49" s="756"/>
      <c r="AB49" s="373">
        <f>$E49/$E$70*$AB$70</f>
        <v>0.03</v>
      </c>
      <c r="AC49" s="395">
        <f>AB49/$AB$70*1000-0.03</f>
        <v>0.46</v>
      </c>
      <c r="AD49" s="986">
        <f t="shared" si="4"/>
        <v>0</v>
      </c>
      <c r="AE49" s="412"/>
      <c r="AF49" s="44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  <c r="AZ49" s="287"/>
      <c r="BA49" s="287"/>
      <c r="BB49" s="287"/>
      <c r="BC49" s="287"/>
      <c r="BD49" s="287"/>
      <c r="BE49" s="287"/>
      <c r="BF49" s="287"/>
      <c r="BG49" s="287"/>
      <c r="BH49" s="287"/>
      <c r="BI49" s="287"/>
      <c r="BJ49" s="287"/>
      <c r="BK49" s="287"/>
      <c r="BL49" s="287"/>
      <c r="BM49" s="287"/>
      <c r="BN49" s="287"/>
      <c r="BO49" s="287"/>
      <c r="BP49" s="287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  <c r="CF49" s="287"/>
      <c r="CG49" s="287"/>
      <c r="CH49" s="287"/>
      <c r="CI49" s="287"/>
      <c r="CJ49" s="287"/>
      <c r="CK49" s="287"/>
      <c r="CL49" s="287"/>
      <c r="CM49" s="287"/>
      <c r="CN49" s="287"/>
      <c r="CO49" s="287"/>
      <c r="CP49" s="287"/>
      <c r="CQ49" s="287"/>
      <c r="CR49" s="287"/>
      <c r="CS49" s="287"/>
      <c r="CT49" s="287"/>
      <c r="CU49" s="287"/>
      <c r="CV49" s="287"/>
      <c r="CW49" s="287"/>
      <c r="CX49" s="287"/>
      <c r="CY49" s="287"/>
      <c r="CZ49" s="287"/>
      <c r="DA49" s="287"/>
      <c r="DB49" s="287"/>
      <c r="DC49" s="287"/>
      <c r="DD49" s="287"/>
      <c r="DE49" s="287"/>
    </row>
    <row r="50" spans="1:109" s="288" customFormat="1" ht="21.95" customHeight="1">
      <c r="A50" s="683"/>
      <c r="B50" s="894" t="s">
        <v>448</v>
      </c>
      <c r="C50" s="1007">
        <v>6</v>
      </c>
      <c r="D50" s="868">
        <v>1.8</v>
      </c>
      <c r="E50" s="756">
        <v>17.600000000000001</v>
      </c>
      <c r="F50" s="408">
        <f t="shared" si="37"/>
        <v>7.0000000000000007E-2</v>
      </c>
      <c r="G50" s="410">
        <f t="shared" si="38"/>
        <v>5.05</v>
      </c>
      <c r="H50" s="756">
        <f t="shared" si="39"/>
        <v>1.54</v>
      </c>
      <c r="I50" s="756"/>
      <c r="J50" s="756"/>
      <c r="K50" s="756">
        <f t="shared" si="40"/>
        <v>15.11</v>
      </c>
      <c r="L50" s="1003">
        <f t="shared" si="41"/>
        <v>7.0000000000000007E-2</v>
      </c>
      <c r="M50" s="410">
        <f t="shared" si="42"/>
        <v>0.82</v>
      </c>
      <c r="N50" s="877">
        <f t="shared" si="43"/>
        <v>0.23</v>
      </c>
      <c r="O50" s="410"/>
      <c r="P50" s="756"/>
      <c r="Q50" s="756">
        <f t="shared" si="48"/>
        <v>1.97</v>
      </c>
      <c r="R50" s="408">
        <f t="shared" si="44"/>
        <v>7.0000000000000007E-2</v>
      </c>
      <c r="S50" s="410">
        <f t="shared" si="45"/>
        <v>0.13</v>
      </c>
      <c r="T50" s="756">
        <f>$D50/$D$70*$T$70</f>
        <v>0.03</v>
      </c>
      <c r="U50" s="756"/>
      <c r="V50" s="756"/>
      <c r="W50" s="756">
        <f>$E50/$E$70*$W$70</f>
        <v>0.51</v>
      </c>
      <c r="X50" s="395">
        <f t="shared" si="49"/>
        <v>7.0000000000000007E-2</v>
      </c>
      <c r="Y50" s="410">
        <f t="shared" si="46"/>
        <v>0</v>
      </c>
      <c r="Z50" s="756">
        <f t="shared" si="47"/>
        <v>0</v>
      </c>
      <c r="AA50" s="756"/>
      <c r="AB50" s="373">
        <f>$E50/$E$70*$AB$70+0.01</f>
        <v>0.01</v>
      </c>
      <c r="AC50" s="395">
        <f>AB50/$AB$70*1000-0.09</f>
        <v>7.0000000000000007E-2</v>
      </c>
      <c r="AD50" s="986">
        <f t="shared" si="4"/>
        <v>0</v>
      </c>
      <c r="AE50" s="412"/>
      <c r="AF50" s="447"/>
      <c r="AG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7"/>
      <c r="BG50" s="287"/>
      <c r="BH50" s="287"/>
      <c r="BI50" s="287"/>
      <c r="BJ50" s="287"/>
      <c r="BK50" s="287"/>
      <c r="BL50" s="287"/>
      <c r="BM50" s="287"/>
      <c r="BN50" s="287"/>
      <c r="BO50" s="287"/>
      <c r="BP50" s="287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  <c r="CF50" s="287"/>
      <c r="CG50" s="287"/>
      <c r="CH50" s="287"/>
      <c r="CI50" s="287"/>
      <c r="CJ50" s="287"/>
      <c r="CK50" s="287"/>
      <c r="CL50" s="287"/>
      <c r="CM50" s="287"/>
      <c r="CN50" s="287"/>
      <c r="CO50" s="287"/>
      <c r="CP50" s="287"/>
      <c r="CQ50" s="287"/>
      <c r="CR50" s="287"/>
      <c r="CS50" s="287"/>
      <c r="CT50" s="287"/>
      <c r="CU50" s="287"/>
      <c r="CV50" s="287"/>
      <c r="CW50" s="287"/>
      <c r="CX50" s="287"/>
      <c r="CY50" s="287"/>
      <c r="CZ50" s="287"/>
      <c r="DA50" s="287"/>
      <c r="DB50" s="287"/>
      <c r="DC50" s="287"/>
      <c r="DD50" s="287"/>
      <c r="DE50" s="287"/>
    </row>
    <row r="51" spans="1:109" s="288" customFormat="1" ht="21.95" customHeight="1">
      <c r="A51" s="683"/>
      <c r="B51" s="893" t="s">
        <v>423</v>
      </c>
      <c r="C51" s="1007">
        <v>25.76</v>
      </c>
      <c r="D51" s="868">
        <v>25.5</v>
      </c>
      <c r="E51" s="756">
        <v>0</v>
      </c>
      <c r="F51" s="408">
        <f t="shared" si="37"/>
        <v>0</v>
      </c>
      <c r="G51" s="410">
        <f t="shared" si="38"/>
        <v>21.67</v>
      </c>
      <c r="H51" s="756">
        <f t="shared" si="39"/>
        <v>21.8</v>
      </c>
      <c r="I51" s="756"/>
      <c r="J51" s="756"/>
      <c r="K51" s="756">
        <f t="shared" si="40"/>
        <v>0</v>
      </c>
      <c r="L51" s="1003">
        <f t="shared" si="41"/>
        <v>0</v>
      </c>
      <c r="M51" s="410">
        <f t="shared" si="42"/>
        <v>3.52</v>
      </c>
      <c r="N51" s="877">
        <f t="shared" si="43"/>
        <v>3.21</v>
      </c>
      <c r="O51" s="410"/>
      <c r="P51" s="756"/>
      <c r="Q51" s="756">
        <f t="shared" si="48"/>
        <v>0</v>
      </c>
      <c r="R51" s="408">
        <f t="shared" si="44"/>
        <v>0</v>
      </c>
      <c r="S51" s="410">
        <f t="shared" si="45"/>
        <v>0.56999999999999995</v>
      </c>
      <c r="T51" s="756">
        <f>$D51/$D$70*$T$70</f>
        <v>0.49</v>
      </c>
      <c r="U51" s="756"/>
      <c r="V51" s="756"/>
      <c r="W51" s="756">
        <f>$E51/$E$70*$W$70</f>
        <v>0</v>
      </c>
      <c r="X51" s="395">
        <f t="shared" si="49"/>
        <v>0</v>
      </c>
      <c r="Y51" s="410">
        <f t="shared" si="46"/>
        <v>0.01</v>
      </c>
      <c r="Z51" s="756">
        <f t="shared" si="47"/>
        <v>0.01</v>
      </c>
      <c r="AA51" s="756"/>
      <c r="AB51" s="373">
        <f>$E51/$E$70*$AB$70</f>
        <v>0</v>
      </c>
      <c r="AC51" s="395">
        <f>AB51/$AB$70*1000</f>
        <v>0</v>
      </c>
      <c r="AD51" s="986">
        <f t="shared" si="4"/>
        <v>0</v>
      </c>
      <c r="AE51" s="412"/>
      <c r="AF51" s="447"/>
      <c r="AG51" s="287"/>
      <c r="AH51" s="287"/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7"/>
      <c r="AV51" s="287"/>
      <c r="AW51" s="287"/>
      <c r="AX51" s="287"/>
      <c r="AY51" s="287"/>
      <c r="AZ51" s="287"/>
      <c r="BA51" s="287"/>
      <c r="BB51" s="287"/>
      <c r="BC51" s="287"/>
      <c r="BD51" s="287"/>
      <c r="BE51" s="287"/>
      <c r="BF51" s="287"/>
      <c r="BG51" s="287"/>
      <c r="BH51" s="287"/>
      <c r="BI51" s="287"/>
      <c r="BJ51" s="287"/>
      <c r="BK51" s="287"/>
      <c r="BL51" s="287"/>
      <c r="BM51" s="287"/>
      <c r="BN51" s="287"/>
      <c r="BO51" s="287"/>
      <c r="BP51" s="287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  <c r="CI51" s="287"/>
      <c r="CJ51" s="287"/>
      <c r="CK51" s="287"/>
      <c r="CL51" s="287"/>
      <c r="CM51" s="287"/>
      <c r="CN51" s="287"/>
      <c r="CO51" s="287"/>
      <c r="CP51" s="287"/>
      <c r="CQ51" s="287"/>
      <c r="CR51" s="287"/>
      <c r="CS51" s="287"/>
      <c r="CT51" s="287"/>
      <c r="CU51" s="287"/>
      <c r="CV51" s="287"/>
      <c r="CW51" s="287"/>
      <c r="CX51" s="287"/>
      <c r="CY51" s="287"/>
      <c r="CZ51" s="287"/>
      <c r="DA51" s="287"/>
      <c r="DB51" s="287"/>
      <c r="DC51" s="287"/>
      <c r="DD51" s="287"/>
      <c r="DE51" s="287"/>
    </row>
    <row r="52" spans="1:109" s="288" customFormat="1" ht="45" customHeight="1">
      <c r="A52" s="683" t="s">
        <v>60</v>
      </c>
      <c r="B52" s="897" t="s">
        <v>345</v>
      </c>
      <c r="C52" s="407">
        <f t="shared" ref="C52:I52" si="50">SUM(C53:C54)</f>
        <v>2059.4299999999998</v>
      </c>
      <c r="D52" s="373">
        <f t="shared" si="50"/>
        <v>2078.8200000000002</v>
      </c>
      <c r="E52" s="373">
        <f t="shared" si="50"/>
        <v>2986.79</v>
      </c>
      <c r="F52" s="409">
        <f t="shared" si="50"/>
        <v>12.61</v>
      </c>
      <c r="G52" s="407">
        <f t="shared" si="50"/>
        <v>1732.22</v>
      </c>
      <c r="H52" s="373">
        <f t="shared" si="50"/>
        <v>1777.05</v>
      </c>
      <c r="I52" s="373">
        <f t="shared" si="50"/>
        <v>2592.7399999999998</v>
      </c>
      <c r="J52" s="373">
        <f t="shared" ref="J52:AA52" si="51">SUM(J53:J54)</f>
        <v>12.63</v>
      </c>
      <c r="K52" s="373">
        <f t="shared" si="51"/>
        <v>2564.67</v>
      </c>
      <c r="L52" s="742">
        <f t="shared" si="41"/>
        <v>12.61</v>
      </c>
      <c r="M52" s="407">
        <f>SUM(M53:M54)</f>
        <v>281.27999999999997</v>
      </c>
      <c r="N52" s="645">
        <f>SUM(N53:N54)</f>
        <v>261.58</v>
      </c>
      <c r="O52" s="407">
        <f t="shared" si="51"/>
        <v>344.05</v>
      </c>
      <c r="P52" s="373">
        <f t="shared" si="51"/>
        <v>12.63</v>
      </c>
      <c r="Q52" s="756">
        <f t="shared" si="48"/>
        <v>334.23</v>
      </c>
      <c r="R52" s="409">
        <f t="shared" si="51"/>
        <v>12.61</v>
      </c>
      <c r="S52" s="407">
        <f>SUM(S53:S54)</f>
        <v>45.94</v>
      </c>
      <c r="T52" s="373">
        <f>SUM(T53:T54)</f>
        <v>40.19</v>
      </c>
      <c r="U52" s="373">
        <f t="shared" si="51"/>
        <v>112.89</v>
      </c>
      <c r="V52" s="373">
        <f t="shared" si="51"/>
        <v>12.63</v>
      </c>
      <c r="W52" s="373">
        <f t="shared" si="51"/>
        <v>87.12</v>
      </c>
      <c r="X52" s="395">
        <f t="shared" si="49"/>
        <v>12.61</v>
      </c>
      <c r="Y52" s="407">
        <f>SUM(Y53:Y54)</f>
        <v>0.47</v>
      </c>
      <c r="Z52" s="373">
        <f>SUM(Z53:Z54)</f>
        <v>0.47</v>
      </c>
      <c r="AA52" s="373">
        <f t="shared" si="51"/>
        <v>12.63</v>
      </c>
      <c r="AB52" s="373">
        <f>SUM(AB53:AB54)</f>
        <v>0.77</v>
      </c>
      <c r="AC52" s="395">
        <f>SUM(AC53:AC54)</f>
        <v>12.61</v>
      </c>
      <c r="AD52" s="987">
        <f t="shared" si="4"/>
        <v>0</v>
      </c>
      <c r="AE52" s="287"/>
      <c r="AF52" s="287"/>
      <c r="AG52" s="287"/>
      <c r="AH52" s="287"/>
      <c r="AI52" s="287"/>
      <c r="AJ52" s="287"/>
      <c r="AK52" s="287"/>
      <c r="AL52" s="287"/>
      <c r="AM52" s="287"/>
      <c r="AN52" s="287"/>
      <c r="AO52" s="287"/>
      <c r="AP52" s="287"/>
      <c r="AQ52" s="287"/>
      <c r="AR52" s="287"/>
      <c r="AS52" s="287"/>
      <c r="AT52" s="287"/>
      <c r="AU52" s="287"/>
      <c r="AV52" s="287"/>
      <c r="AW52" s="287"/>
      <c r="AX52" s="287"/>
      <c r="AY52" s="287"/>
      <c r="AZ52" s="287"/>
      <c r="BA52" s="287"/>
      <c r="BB52" s="287"/>
      <c r="BC52" s="287"/>
      <c r="BD52" s="287"/>
      <c r="BE52" s="287"/>
      <c r="BF52" s="287"/>
      <c r="BG52" s="287"/>
      <c r="BH52" s="287"/>
      <c r="BI52" s="287"/>
      <c r="BJ52" s="287"/>
      <c r="BK52" s="287"/>
      <c r="BL52" s="287"/>
      <c r="BM52" s="287"/>
      <c r="BN52" s="287"/>
      <c r="BO52" s="287"/>
      <c r="BP52" s="287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  <c r="CC52" s="287"/>
      <c r="CD52" s="287"/>
      <c r="CE52" s="287"/>
      <c r="CF52" s="287"/>
      <c r="CG52" s="287"/>
      <c r="CH52" s="287"/>
      <c r="CI52" s="287"/>
      <c r="CJ52" s="287"/>
      <c r="CK52" s="287"/>
      <c r="CL52" s="287"/>
      <c r="CM52" s="287"/>
      <c r="CN52" s="287"/>
      <c r="CO52" s="287"/>
      <c r="CP52" s="287"/>
      <c r="CQ52" s="287"/>
      <c r="CR52" s="287"/>
      <c r="CS52" s="287"/>
      <c r="CT52" s="287"/>
      <c r="CU52" s="287"/>
      <c r="CV52" s="287"/>
      <c r="CW52" s="287"/>
      <c r="CX52" s="287"/>
      <c r="CY52" s="287"/>
      <c r="CZ52" s="287"/>
      <c r="DA52" s="287"/>
      <c r="DB52" s="287"/>
      <c r="DC52" s="287"/>
      <c r="DD52" s="287"/>
      <c r="DE52" s="287"/>
    </row>
    <row r="53" spans="1:109" s="290" customFormat="1" ht="21.95" customHeight="1">
      <c r="A53" s="683" t="s">
        <v>427</v>
      </c>
      <c r="B53" s="893" t="s">
        <v>53</v>
      </c>
      <c r="C53" s="1011">
        <v>1524.44</v>
      </c>
      <c r="D53" s="871">
        <v>1712.94</v>
      </c>
      <c r="E53" s="373">
        <f>3490.38*70.141%</f>
        <v>2448.19</v>
      </c>
      <c r="F53" s="408">
        <f t="shared" ref="F53:F61" si="52">E53/$E$70*1000</f>
        <v>10.34</v>
      </c>
      <c r="G53" s="410">
        <f>C53/$C$70*$G$70</f>
        <v>1282.23</v>
      </c>
      <c r="H53" s="756">
        <f>D53/$D$70*$H$70</f>
        <v>1464.28</v>
      </c>
      <c r="I53" s="373">
        <v>2125.1999999999998</v>
      </c>
      <c r="J53" s="756">
        <f>I53/$I$70*1000</f>
        <v>10.35</v>
      </c>
      <c r="K53" s="756">
        <f>$E53/$E$70*$K$70</f>
        <v>2102.19</v>
      </c>
      <c r="L53" s="742">
        <f t="shared" si="41"/>
        <v>10.34</v>
      </c>
      <c r="M53" s="410">
        <f>C53/$C$70*$M$70</f>
        <v>208.21</v>
      </c>
      <c r="N53" s="877">
        <f>D53/$D$70*$N$70</f>
        <v>215.54</v>
      </c>
      <c r="O53" s="407">
        <v>282.01</v>
      </c>
      <c r="P53" s="373">
        <f>O53/$O$70*1000</f>
        <v>10.35</v>
      </c>
      <c r="Q53" s="756">
        <f t="shared" si="48"/>
        <v>273.95999999999998</v>
      </c>
      <c r="R53" s="408">
        <f t="shared" ref="R53:R59" si="53">Q53/$Q$70*1000</f>
        <v>10.34</v>
      </c>
      <c r="S53" s="410">
        <f>$C53/$C$70*$S$70</f>
        <v>34.01</v>
      </c>
      <c r="T53" s="756">
        <f>$D53/$D$70*$T$70</f>
        <v>33.119999999999997</v>
      </c>
      <c r="U53" s="756">
        <v>92.53</v>
      </c>
      <c r="V53" s="373">
        <f>U53/$U$70*1000</f>
        <v>10.35</v>
      </c>
      <c r="W53" s="756">
        <f>$E53/$E$70*$W$70</f>
        <v>71.41</v>
      </c>
      <c r="X53" s="395">
        <f t="shared" si="49"/>
        <v>10.34</v>
      </c>
      <c r="Y53" s="410">
        <f>$C53/$C$70*$Y$70</f>
        <v>0.35</v>
      </c>
      <c r="Z53" s="756">
        <f>$D53/$D$70*$Z$70</f>
        <v>0.39</v>
      </c>
      <c r="AA53" s="373">
        <v>10.35</v>
      </c>
      <c r="AB53" s="373">
        <f>$E53/$E$70*$AB$70</f>
        <v>0.63</v>
      </c>
      <c r="AC53" s="395">
        <f>AB53/$AB$70*1000-0.02</f>
        <v>10.34</v>
      </c>
      <c r="AD53" s="986">
        <f t="shared" si="4"/>
        <v>0</v>
      </c>
      <c r="AE53" s="287"/>
      <c r="AF53" s="287"/>
      <c r="AG53" s="287"/>
      <c r="AH53" s="287"/>
      <c r="AI53" s="287"/>
    </row>
    <row r="54" spans="1:109" s="288" customFormat="1" ht="21.95" customHeight="1">
      <c r="A54" s="683" t="s">
        <v>428</v>
      </c>
      <c r="B54" s="893" t="s">
        <v>45</v>
      </c>
      <c r="C54" s="1011">
        <v>534.99</v>
      </c>
      <c r="D54" s="871">
        <v>365.88</v>
      </c>
      <c r="E54" s="373">
        <f>767.88*70.141%</f>
        <v>538.6</v>
      </c>
      <c r="F54" s="408">
        <f t="shared" si="52"/>
        <v>2.27</v>
      </c>
      <c r="G54" s="410">
        <f>C54/$C$70*$G$70</f>
        <v>449.99</v>
      </c>
      <c r="H54" s="756">
        <f>D54/$D$70*$H$70</f>
        <v>312.77</v>
      </c>
      <c r="I54" s="373">
        <v>467.54</v>
      </c>
      <c r="J54" s="756">
        <f>I54/$I$70*1000</f>
        <v>2.2799999999999998</v>
      </c>
      <c r="K54" s="756">
        <f>$E54/$E$70*$K$70</f>
        <v>462.48</v>
      </c>
      <c r="L54" s="742">
        <f t="shared" si="41"/>
        <v>2.27</v>
      </c>
      <c r="M54" s="410">
        <f>C54/$C$70*$M$70</f>
        <v>73.069999999999993</v>
      </c>
      <c r="N54" s="877">
        <f>D54/$D$70*$N$70</f>
        <v>46.04</v>
      </c>
      <c r="O54" s="407">
        <v>62.04</v>
      </c>
      <c r="P54" s="373">
        <f>O54/$O$70*1000</f>
        <v>2.2799999999999998</v>
      </c>
      <c r="Q54" s="756">
        <f t="shared" si="48"/>
        <v>60.27</v>
      </c>
      <c r="R54" s="408">
        <f t="shared" si="53"/>
        <v>2.27</v>
      </c>
      <c r="S54" s="410">
        <f>$C54/$C$70*$S$70</f>
        <v>11.93</v>
      </c>
      <c r="T54" s="756">
        <f>$D54/$D$70*$T$70</f>
        <v>7.07</v>
      </c>
      <c r="U54" s="756">
        <v>20.36</v>
      </c>
      <c r="V54" s="373">
        <f>U54/$U$70*1000</f>
        <v>2.2799999999999998</v>
      </c>
      <c r="W54" s="756">
        <f>$E54/$E$70*$W$70</f>
        <v>15.71</v>
      </c>
      <c r="X54" s="395">
        <f t="shared" si="49"/>
        <v>2.27</v>
      </c>
      <c r="Y54" s="410">
        <f>$C54/$C$70*$Y$70</f>
        <v>0.12</v>
      </c>
      <c r="Z54" s="756">
        <f>$D54/$D$70*$Z$70</f>
        <v>0.08</v>
      </c>
      <c r="AA54" s="373">
        <v>2.2799999999999998</v>
      </c>
      <c r="AB54" s="373">
        <f>$E54/$E$70*$AB$70</f>
        <v>0.14000000000000001</v>
      </c>
      <c r="AC54" s="395">
        <f>AB54/$AB$70*1000-0.03</f>
        <v>2.27</v>
      </c>
      <c r="AD54" s="986">
        <f t="shared" si="4"/>
        <v>0</v>
      </c>
      <c r="AE54" s="287"/>
      <c r="AF54" s="287"/>
      <c r="AG54" s="287"/>
      <c r="AH54" s="287"/>
      <c r="AI54" s="287"/>
      <c r="AJ54" s="287"/>
      <c r="AK54" s="287"/>
      <c r="AL54" s="287"/>
      <c r="AM54" s="287"/>
      <c r="AN54" s="287"/>
      <c r="AO54" s="287"/>
      <c r="AP54" s="287"/>
      <c r="AQ54" s="287"/>
      <c r="AR54" s="287"/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/>
      <c r="BD54" s="287"/>
      <c r="BE54" s="287"/>
      <c r="BF54" s="287"/>
      <c r="BG54" s="287"/>
      <c r="BH54" s="287"/>
      <c r="BI54" s="287"/>
      <c r="BJ54" s="287"/>
      <c r="BK54" s="287"/>
      <c r="BL54" s="287"/>
      <c r="BM54" s="287"/>
      <c r="BN54" s="287"/>
      <c r="BO54" s="287"/>
      <c r="BP54" s="287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287"/>
      <c r="CH54" s="287"/>
      <c r="CI54" s="287"/>
      <c r="CJ54" s="287"/>
      <c r="CK54" s="287"/>
      <c r="CL54" s="287"/>
      <c r="CM54" s="287"/>
      <c r="CN54" s="287"/>
      <c r="CO54" s="287"/>
      <c r="CP54" s="287"/>
      <c r="CQ54" s="287"/>
      <c r="CR54" s="287"/>
      <c r="CS54" s="287"/>
      <c r="CT54" s="287"/>
      <c r="CU54" s="287"/>
      <c r="CV54" s="287"/>
      <c r="CW54" s="287"/>
      <c r="CX54" s="287"/>
      <c r="CY54" s="287"/>
      <c r="CZ54" s="287"/>
      <c r="DA54" s="287"/>
      <c r="DB54" s="287"/>
      <c r="DC54" s="287"/>
      <c r="DD54" s="287"/>
      <c r="DE54" s="287"/>
    </row>
    <row r="55" spans="1:109" s="288" customFormat="1" ht="21.95" customHeight="1">
      <c r="A55" s="683" t="s">
        <v>61</v>
      </c>
      <c r="B55" s="897" t="s">
        <v>47</v>
      </c>
      <c r="C55" s="1011">
        <v>37.89</v>
      </c>
      <c r="D55" s="871">
        <v>34.380000000000003</v>
      </c>
      <c r="E55" s="373">
        <v>26.81</v>
      </c>
      <c r="F55" s="408">
        <f t="shared" si="52"/>
        <v>0.11</v>
      </c>
      <c r="G55" s="410">
        <f>C55/$C$70*$G$70</f>
        <v>31.87</v>
      </c>
      <c r="H55" s="756">
        <f>D55/$D$70*$H$70</f>
        <v>29.39</v>
      </c>
      <c r="I55" s="373"/>
      <c r="J55" s="756"/>
      <c r="K55" s="756">
        <f>$E55/$E$70*$K$70</f>
        <v>23.02</v>
      </c>
      <c r="L55" s="1003">
        <f t="shared" si="41"/>
        <v>0.11</v>
      </c>
      <c r="M55" s="410">
        <f>C55/$C$70*$M$70</f>
        <v>5.17</v>
      </c>
      <c r="N55" s="877">
        <f>D55/$D$70*$N$70</f>
        <v>4.33</v>
      </c>
      <c r="O55" s="407"/>
      <c r="P55" s="373"/>
      <c r="Q55" s="756">
        <f t="shared" si="48"/>
        <v>3</v>
      </c>
      <c r="R55" s="408">
        <f t="shared" si="53"/>
        <v>0.11</v>
      </c>
      <c r="S55" s="410">
        <f>$C55/$C$70*$S$70</f>
        <v>0.85</v>
      </c>
      <c r="T55" s="756">
        <f>$D55/$D$70*$T$70</f>
        <v>0.66</v>
      </c>
      <c r="U55" s="756"/>
      <c r="V55" s="373"/>
      <c r="W55" s="756">
        <f>$E55/$E$70*$W$70</f>
        <v>0.78</v>
      </c>
      <c r="X55" s="395">
        <f t="shared" si="49"/>
        <v>0.11</v>
      </c>
      <c r="Y55" s="410">
        <f>$C55/$C$70*$Y$70</f>
        <v>0.01</v>
      </c>
      <c r="Z55" s="756">
        <f>$D55/$D$70*$Z$70</f>
        <v>0.01</v>
      </c>
      <c r="AA55" s="373"/>
      <c r="AB55" s="373">
        <f>$E55/$E$70*$AB$70</f>
        <v>0.01</v>
      </c>
      <c r="AC55" s="395">
        <f>AB55/$AB$70*1000-0.05</f>
        <v>0.11</v>
      </c>
      <c r="AD55" s="986">
        <f t="shared" si="4"/>
        <v>0</v>
      </c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287"/>
      <c r="CH55" s="287"/>
      <c r="CI55" s="287"/>
      <c r="CJ55" s="287"/>
      <c r="CK55" s="287"/>
      <c r="CL55" s="287"/>
      <c r="CM55" s="287"/>
      <c r="CN55" s="287"/>
      <c r="CO55" s="287"/>
      <c r="CP55" s="287"/>
      <c r="CQ55" s="287"/>
      <c r="CR55" s="287"/>
      <c r="CS55" s="287"/>
      <c r="CT55" s="287"/>
      <c r="CU55" s="287"/>
      <c r="CV55" s="287"/>
      <c r="CW55" s="287"/>
      <c r="CX55" s="287"/>
      <c r="CY55" s="287"/>
      <c r="CZ55" s="287"/>
      <c r="DA55" s="287"/>
      <c r="DB55" s="287"/>
      <c r="DC55" s="287"/>
      <c r="DD55" s="287"/>
      <c r="DE55" s="287"/>
    </row>
    <row r="56" spans="1:109" s="288" customFormat="1" ht="21.95" customHeight="1">
      <c r="A56" s="683" t="s">
        <v>429</v>
      </c>
      <c r="B56" s="899" t="s">
        <v>447</v>
      </c>
      <c r="C56" s="1011">
        <v>215.31</v>
      </c>
      <c r="D56" s="871">
        <v>332.4</v>
      </c>
      <c r="E56" s="373">
        <v>247.35</v>
      </c>
      <c r="F56" s="408">
        <f t="shared" si="52"/>
        <v>1.04</v>
      </c>
      <c r="G56" s="410">
        <f>C56/$C$70*$G$70</f>
        <v>181.1</v>
      </c>
      <c r="H56" s="756">
        <f>D56/$D$70*$H$70</f>
        <v>284.14999999999998</v>
      </c>
      <c r="I56" s="373">
        <v>326.86</v>
      </c>
      <c r="J56" s="756">
        <f>I56/$I$70*1000</f>
        <v>1.59</v>
      </c>
      <c r="K56" s="756">
        <f>$E56/$E$70*$K$70+0.01</f>
        <v>212.4</v>
      </c>
      <c r="L56" s="742">
        <f t="shared" si="41"/>
        <v>1.04</v>
      </c>
      <c r="M56" s="410">
        <f>C56/$C$70*$M$70</f>
        <v>29.41</v>
      </c>
      <c r="N56" s="877">
        <f>D56/$D$70*$N$70</f>
        <v>41.83</v>
      </c>
      <c r="O56" s="407">
        <v>43.37</v>
      </c>
      <c r="P56" s="373">
        <f>O56/$O$70*1000</f>
        <v>1.59</v>
      </c>
      <c r="Q56" s="756">
        <f t="shared" si="48"/>
        <v>27.68</v>
      </c>
      <c r="R56" s="408">
        <f t="shared" si="53"/>
        <v>1.04</v>
      </c>
      <c r="S56" s="410">
        <f>$C56/$C$70*$S$70</f>
        <v>4.8</v>
      </c>
      <c r="T56" s="756">
        <f>$C56/$C$70*$S$70</f>
        <v>4.8</v>
      </c>
      <c r="U56" s="756">
        <v>14.23</v>
      </c>
      <c r="V56" s="373">
        <f>U56/$U$70*1000</f>
        <v>1.59</v>
      </c>
      <c r="W56" s="756">
        <f>$E56/$E$70*$W$70</f>
        <v>7.21</v>
      </c>
      <c r="X56" s="395">
        <f t="shared" si="49"/>
        <v>1.04</v>
      </c>
      <c r="Y56" s="410">
        <f>$C56/$C$70*$Y$70</f>
        <v>0.05</v>
      </c>
      <c r="Z56" s="756">
        <f>$D56/$D$70*$Z$70</f>
        <v>0.08</v>
      </c>
      <c r="AA56" s="373">
        <v>1.59</v>
      </c>
      <c r="AB56" s="373">
        <f>$E56/$E$70*$AB$70</f>
        <v>0.06</v>
      </c>
      <c r="AC56" s="395">
        <f>AB56/$AB$70*1000+0.05</f>
        <v>1.04</v>
      </c>
      <c r="AD56" s="986">
        <f t="shared" si="4"/>
        <v>0</v>
      </c>
      <c r="AE56" s="290"/>
      <c r="AF56" s="290"/>
      <c r="AG56" s="290"/>
      <c r="AH56" s="290"/>
      <c r="AI56" s="290"/>
      <c r="AJ56" s="287"/>
      <c r="AK56" s="287"/>
      <c r="AL56" s="287"/>
      <c r="AM56" s="287"/>
      <c r="AN56" s="287"/>
      <c r="AO56" s="287"/>
      <c r="AP56" s="287"/>
      <c r="AQ56" s="287"/>
      <c r="AR56" s="287"/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/>
      <c r="BD56" s="287"/>
      <c r="BE56" s="287"/>
      <c r="BF56" s="287"/>
      <c r="BG56" s="287"/>
      <c r="BH56" s="287"/>
      <c r="BI56" s="287"/>
      <c r="BJ56" s="287"/>
      <c r="BK56" s="287"/>
      <c r="BL56" s="287"/>
      <c r="BM56" s="287"/>
      <c r="BN56" s="287"/>
      <c r="BO56" s="287"/>
      <c r="BP56" s="287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  <c r="CC56" s="287"/>
      <c r="CD56" s="287"/>
      <c r="CE56" s="287"/>
      <c r="CF56" s="287"/>
      <c r="CG56" s="287"/>
      <c r="CH56" s="287"/>
      <c r="CI56" s="287"/>
      <c r="CJ56" s="287"/>
      <c r="CK56" s="287"/>
      <c r="CL56" s="287"/>
      <c r="CM56" s="287"/>
      <c r="CN56" s="287"/>
      <c r="CO56" s="287"/>
      <c r="CP56" s="287"/>
      <c r="CQ56" s="287"/>
      <c r="CR56" s="287"/>
      <c r="CS56" s="287"/>
      <c r="CT56" s="287"/>
      <c r="CU56" s="287"/>
      <c r="CV56" s="287"/>
      <c r="CW56" s="287"/>
      <c r="CX56" s="287"/>
      <c r="CY56" s="287"/>
      <c r="CZ56" s="287"/>
      <c r="DA56" s="287"/>
      <c r="DB56" s="287"/>
      <c r="DC56" s="287"/>
      <c r="DD56" s="287"/>
      <c r="DE56" s="287"/>
    </row>
    <row r="57" spans="1:109" s="292" customFormat="1" ht="21.95" customHeight="1">
      <c r="A57" s="682">
        <v>3</v>
      </c>
      <c r="B57" s="891" t="s">
        <v>202</v>
      </c>
      <c r="C57" s="777">
        <f>G57+M57+S57</f>
        <v>0</v>
      </c>
      <c r="D57" s="372">
        <f>H57+N57+T57</f>
        <v>0</v>
      </c>
      <c r="E57" s="372">
        <f t="shared" ref="E57:E68" si="54">K57+Q57+W57+AB57</f>
        <v>0</v>
      </c>
      <c r="F57" s="405">
        <f t="shared" si="52"/>
        <v>0</v>
      </c>
      <c r="G57" s="406">
        <f>'Додаток2 скор'!I45</f>
        <v>0</v>
      </c>
      <c r="H57" s="755">
        <f>'Додаток2 скор'!J45</f>
        <v>0</v>
      </c>
      <c r="I57" s="755">
        <f>'Додаток2 скор'!K45</f>
        <v>0</v>
      </c>
      <c r="J57" s="755">
        <f>I57/$I$70*1000</f>
        <v>0</v>
      </c>
      <c r="K57" s="755">
        <v>0</v>
      </c>
      <c r="L57" s="744">
        <f t="shared" si="41"/>
        <v>0</v>
      </c>
      <c r="M57" s="406">
        <f>'Додаток2 скор'!N45</f>
        <v>0</v>
      </c>
      <c r="N57" s="878">
        <f>'Додаток2 скор'!O45</f>
        <v>0</v>
      </c>
      <c r="O57" s="406">
        <f>'Додаток2 скор'!P45</f>
        <v>0</v>
      </c>
      <c r="P57" s="755">
        <f>O57/$O$70*1000</f>
        <v>0</v>
      </c>
      <c r="Q57" s="755">
        <f>O57</f>
        <v>0</v>
      </c>
      <c r="R57" s="405">
        <f t="shared" si="53"/>
        <v>0</v>
      </c>
      <c r="S57" s="406">
        <f>'Додаток2 скор'!S45</f>
        <v>0</v>
      </c>
      <c r="T57" s="755">
        <f>'Додаток2 скор'!T45</f>
        <v>0</v>
      </c>
      <c r="U57" s="755">
        <f>'Додаток2 скор'!U45</f>
        <v>0</v>
      </c>
      <c r="V57" s="755">
        <f>U57/$U$70*1000</f>
        <v>0</v>
      </c>
      <c r="W57" s="755">
        <f>U57</f>
        <v>0</v>
      </c>
      <c r="X57" s="393">
        <f t="shared" si="49"/>
        <v>0</v>
      </c>
      <c r="Y57" s="406">
        <v>0</v>
      </c>
      <c r="Z57" s="755">
        <v>0</v>
      </c>
      <c r="AA57" s="755">
        <v>0</v>
      </c>
      <c r="AB57" s="755">
        <f t="shared" ref="AB57:AB67" si="55">Z57</f>
        <v>0</v>
      </c>
      <c r="AC57" s="393">
        <f>AB57/$AB$70*1000</f>
        <v>0</v>
      </c>
      <c r="AD57" s="986">
        <f t="shared" si="4"/>
        <v>0</v>
      </c>
      <c r="AE57" s="646"/>
      <c r="AF57" s="646"/>
      <c r="AG57" s="646"/>
      <c r="AH57" s="646"/>
      <c r="AI57" s="646"/>
      <c r="AJ57" s="646"/>
      <c r="AK57" s="646"/>
      <c r="AL57" s="646"/>
      <c r="AM57" s="646"/>
      <c r="AN57" s="646"/>
      <c r="AO57" s="646"/>
      <c r="AP57" s="646"/>
      <c r="AQ57" s="646"/>
      <c r="AR57" s="646"/>
      <c r="AS57" s="646"/>
      <c r="AT57" s="646"/>
      <c r="AU57" s="646"/>
      <c r="AV57" s="646"/>
      <c r="AW57" s="646"/>
      <c r="AX57" s="646"/>
      <c r="AY57" s="646"/>
      <c r="AZ57" s="646"/>
      <c r="BA57" s="646"/>
      <c r="BB57" s="646"/>
      <c r="BC57" s="646"/>
      <c r="BD57" s="646"/>
      <c r="BE57" s="646"/>
      <c r="BF57" s="646"/>
      <c r="BG57" s="646"/>
      <c r="BH57" s="646"/>
      <c r="BI57" s="646"/>
      <c r="BJ57" s="646"/>
      <c r="BK57" s="646"/>
      <c r="BL57" s="646"/>
      <c r="BM57" s="646"/>
      <c r="BN57" s="646"/>
      <c r="BO57" s="646"/>
      <c r="BP57" s="646"/>
      <c r="BQ57" s="646"/>
      <c r="BR57" s="646"/>
      <c r="BS57" s="646"/>
      <c r="BT57" s="646"/>
      <c r="BU57" s="646"/>
      <c r="BV57" s="646"/>
      <c r="BW57" s="646"/>
      <c r="BX57" s="646"/>
      <c r="BY57" s="646"/>
      <c r="BZ57" s="646"/>
      <c r="CA57" s="646"/>
      <c r="CB57" s="646"/>
      <c r="CC57" s="646"/>
      <c r="CD57" s="646"/>
      <c r="CE57" s="646"/>
      <c r="CF57" s="646"/>
      <c r="CG57" s="646"/>
      <c r="CH57" s="646"/>
      <c r="CI57" s="646"/>
      <c r="CJ57" s="646"/>
      <c r="CK57" s="646"/>
      <c r="CL57" s="646"/>
      <c r="CM57" s="646"/>
      <c r="CN57" s="646"/>
      <c r="CO57" s="646"/>
      <c r="CP57" s="646"/>
      <c r="CQ57" s="646"/>
      <c r="CR57" s="646"/>
      <c r="CS57" s="646"/>
      <c r="CT57" s="646"/>
      <c r="CU57" s="646"/>
      <c r="CV57" s="646"/>
      <c r="CW57" s="646"/>
      <c r="CX57" s="646"/>
      <c r="CY57" s="646"/>
      <c r="CZ57" s="646"/>
      <c r="DA57" s="646"/>
      <c r="DB57" s="646"/>
      <c r="DC57" s="646"/>
      <c r="DD57" s="646"/>
      <c r="DE57" s="646"/>
    </row>
    <row r="58" spans="1:109" s="290" customFormat="1" ht="21.95" customHeight="1">
      <c r="A58" s="683" t="s">
        <v>372</v>
      </c>
      <c r="B58" s="897" t="s">
        <v>103</v>
      </c>
      <c r="C58" s="818">
        <v>0</v>
      </c>
      <c r="D58" s="820">
        <v>0</v>
      </c>
      <c r="E58" s="373">
        <f t="shared" si="54"/>
        <v>0</v>
      </c>
      <c r="F58" s="408">
        <f t="shared" si="52"/>
        <v>0</v>
      </c>
      <c r="G58" s="410">
        <v>0</v>
      </c>
      <c r="H58" s="756">
        <v>0</v>
      </c>
      <c r="I58" s="756">
        <f>'Додаток2 скор'!K49</f>
        <v>0</v>
      </c>
      <c r="J58" s="756">
        <f>I58/$I$70*1000</f>
        <v>0</v>
      </c>
      <c r="K58" s="756">
        <v>0</v>
      </c>
      <c r="L58" s="742">
        <f t="shared" si="41"/>
        <v>0</v>
      </c>
      <c r="M58" s="410">
        <v>0</v>
      </c>
      <c r="N58" s="877">
        <v>0</v>
      </c>
      <c r="O58" s="410">
        <f>'Додаток2 скор'!P49</f>
        <v>0</v>
      </c>
      <c r="P58" s="756">
        <f>O58/$O$70*1000</f>
        <v>0</v>
      </c>
      <c r="Q58" s="756">
        <f>O58</f>
        <v>0</v>
      </c>
      <c r="R58" s="408">
        <f t="shared" si="53"/>
        <v>0</v>
      </c>
      <c r="S58" s="410">
        <v>0</v>
      </c>
      <c r="T58" s="756">
        <v>0</v>
      </c>
      <c r="U58" s="756">
        <f>'Додаток2 скор'!U49</f>
        <v>0</v>
      </c>
      <c r="V58" s="756">
        <f>U58/$U$70*1000</f>
        <v>0</v>
      </c>
      <c r="W58" s="756">
        <f>U58</f>
        <v>0</v>
      </c>
      <c r="X58" s="395">
        <f t="shared" si="49"/>
        <v>0</v>
      </c>
      <c r="Y58" s="410">
        <v>0</v>
      </c>
      <c r="Z58" s="756">
        <v>0</v>
      </c>
      <c r="AA58" s="756">
        <v>0</v>
      </c>
      <c r="AB58" s="756">
        <f t="shared" si="55"/>
        <v>0</v>
      </c>
      <c r="AC58" s="395">
        <f>AB58/$AB$70*1000</f>
        <v>0</v>
      </c>
      <c r="AD58" s="986">
        <f t="shared" si="4"/>
        <v>0</v>
      </c>
      <c r="AE58" s="287"/>
      <c r="AF58" s="287"/>
      <c r="AG58" s="287"/>
      <c r="AH58" s="287"/>
      <c r="AI58" s="287"/>
    </row>
    <row r="59" spans="1:109" s="290" customFormat="1" ht="21.95" customHeight="1">
      <c r="A59" s="683" t="s">
        <v>374</v>
      </c>
      <c r="B59" s="897" t="s">
        <v>65</v>
      </c>
      <c r="C59" s="818">
        <v>0</v>
      </c>
      <c r="D59" s="820">
        <v>0</v>
      </c>
      <c r="E59" s="373">
        <f t="shared" si="54"/>
        <v>0</v>
      </c>
      <c r="F59" s="408">
        <f t="shared" si="52"/>
        <v>0</v>
      </c>
      <c r="G59" s="410">
        <v>0</v>
      </c>
      <c r="H59" s="756">
        <v>0</v>
      </c>
      <c r="I59" s="756">
        <f>'Додаток2 скор'!K50</f>
        <v>0</v>
      </c>
      <c r="J59" s="756">
        <f>I59/$I$70*1000</f>
        <v>0</v>
      </c>
      <c r="K59" s="756">
        <v>0</v>
      </c>
      <c r="L59" s="742">
        <f t="shared" si="41"/>
        <v>0</v>
      </c>
      <c r="M59" s="410">
        <v>0</v>
      </c>
      <c r="N59" s="877">
        <v>0</v>
      </c>
      <c r="O59" s="410">
        <f>'Додаток2 скор'!P50</f>
        <v>0</v>
      </c>
      <c r="P59" s="756">
        <f>O59/$O$70*1000</f>
        <v>0</v>
      </c>
      <c r="Q59" s="756">
        <f>O59</f>
        <v>0</v>
      </c>
      <c r="R59" s="408">
        <f t="shared" si="53"/>
        <v>0</v>
      </c>
      <c r="S59" s="410">
        <v>0</v>
      </c>
      <c r="T59" s="756">
        <v>0</v>
      </c>
      <c r="U59" s="756">
        <f>'Додаток2 скор'!U50</f>
        <v>0</v>
      </c>
      <c r="V59" s="756">
        <f>U59/$U$70*1000</f>
        <v>0</v>
      </c>
      <c r="W59" s="756">
        <f>U59</f>
        <v>0</v>
      </c>
      <c r="X59" s="395">
        <f t="shared" si="49"/>
        <v>0</v>
      </c>
      <c r="Y59" s="410">
        <v>0</v>
      </c>
      <c r="Z59" s="756">
        <v>0</v>
      </c>
      <c r="AA59" s="756">
        <v>0</v>
      </c>
      <c r="AB59" s="756">
        <f t="shared" si="55"/>
        <v>0</v>
      </c>
      <c r="AC59" s="395">
        <f>AB59/$AB$70*1000</f>
        <v>0</v>
      </c>
      <c r="AD59" s="986">
        <f t="shared" si="4"/>
        <v>0</v>
      </c>
      <c r="AE59" s="287"/>
      <c r="AF59" s="287"/>
      <c r="AG59" s="287"/>
      <c r="AH59" s="287"/>
      <c r="AI59" s="287"/>
    </row>
    <row r="60" spans="1:109" s="285" customFormat="1" ht="21.95" customHeight="1">
      <c r="A60" s="682" t="s">
        <v>375</v>
      </c>
      <c r="B60" s="891" t="s">
        <v>100</v>
      </c>
      <c r="C60" s="1013">
        <f>C8+C43</f>
        <v>104077.02</v>
      </c>
      <c r="D60" s="775">
        <f ca="1">D8+D43</f>
        <v>167323.39000000001</v>
      </c>
      <c r="E60" s="372">
        <f t="shared" si="54"/>
        <v>280394.58</v>
      </c>
      <c r="F60" s="405">
        <f t="shared" si="52"/>
        <v>1183.73</v>
      </c>
      <c r="G60" s="406">
        <f ca="1">G8+G43</f>
        <v>94600.81</v>
      </c>
      <c r="H60" s="755">
        <f ca="1">H8+H43</f>
        <v>130950.19</v>
      </c>
      <c r="I60" s="755">
        <f>I8+I43</f>
        <v>229233.51</v>
      </c>
      <c r="J60" s="755">
        <f>J8+J43</f>
        <v>1116.53</v>
      </c>
      <c r="K60" s="755">
        <f>K8+K43</f>
        <v>226511.18</v>
      </c>
      <c r="L60" s="744">
        <f t="shared" si="41"/>
        <v>1113.6400000000001</v>
      </c>
      <c r="M60" s="406">
        <f t="shared" ref="M60:AC60" ca="1" si="56">M8+M43</f>
        <v>33986.910000000003</v>
      </c>
      <c r="N60" s="878">
        <f t="shared" ca="1" si="56"/>
        <v>31091.81</v>
      </c>
      <c r="O60" s="406">
        <f t="shared" si="56"/>
        <v>30543.91</v>
      </c>
      <c r="P60" s="755">
        <f t="shared" si="56"/>
        <v>1121.1099999999999</v>
      </c>
      <c r="Q60" s="755">
        <f t="shared" si="56"/>
        <v>42708.1</v>
      </c>
      <c r="R60" s="405">
        <f t="shared" si="56"/>
        <v>1611.17</v>
      </c>
      <c r="S60" s="406">
        <f t="shared" ca="1" si="56"/>
        <v>5962.59</v>
      </c>
      <c r="T60" s="755">
        <f t="shared" ca="1" si="56"/>
        <v>5261.24</v>
      </c>
      <c r="U60" s="755">
        <f t="shared" si="56"/>
        <v>13119.76</v>
      </c>
      <c r="V60" s="755">
        <f t="shared" si="56"/>
        <v>1467.73</v>
      </c>
      <c r="W60" s="755">
        <f t="shared" si="56"/>
        <v>11131.47</v>
      </c>
      <c r="X60" s="405">
        <f t="shared" si="56"/>
        <v>1611.17</v>
      </c>
      <c r="Y60" s="406">
        <f t="shared" ca="1" si="56"/>
        <v>36.299999999999997</v>
      </c>
      <c r="Z60" s="755">
        <f t="shared" ca="1" si="56"/>
        <v>28.09</v>
      </c>
      <c r="AA60" s="755">
        <f t="shared" si="56"/>
        <v>739.05</v>
      </c>
      <c r="AB60" s="755">
        <f t="shared" si="56"/>
        <v>43.83</v>
      </c>
      <c r="AC60" s="405">
        <f t="shared" si="56"/>
        <v>720.3</v>
      </c>
      <c r="AD60" s="986">
        <f t="shared" si="4"/>
        <v>0</v>
      </c>
    </row>
    <row r="61" spans="1:109" s="285" customFormat="1" ht="21.95" customHeight="1">
      <c r="A61" s="682" t="s">
        <v>376</v>
      </c>
      <c r="B61" s="900" t="s">
        <v>373</v>
      </c>
      <c r="C61" s="777">
        <f>G61+M61+S61</f>
        <v>0</v>
      </c>
      <c r="D61" s="372">
        <f>H61+N61+T61</f>
        <v>0</v>
      </c>
      <c r="E61" s="372">
        <f t="shared" si="54"/>
        <v>0</v>
      </c>
      <c r="F61" s="405">
        <f t="shared" si="52"/>
        <v>0</v>
      </c>
      <c r="G61" s="406">
        <v>0</v>
      </c>
      <c r="H61" s="755">
        <v>0</v>
      </c>
      <c r="I61" s="755">
        <v>0</v>
      </c>
      <c r="J61" s="755">
        <v>0</v>
      </c>
      <c r="K61" s="755">
        <v>0</v>
      </c>
      <c r="L61" s="744">
        <f t="shared" si="41"/>
        <v>0</v>
      </c>
      <c r="M61" s="828">
        <v>0</v>
      </c>
      <c r="N61" s="880">
        <v>0</v>
      </c>
      <c r="O61" s="828">
        <v>2520.35</v>
      </c>
      <c r="P61" s="372">
        <f>O61/$O$70*1000</f>
        <v>92.51</v>
      </c>
      <c r="Q61" s="757">
        <v>0</v>
      </c>
      <c r="R61" s="830">
        <v>0</v>
      </c>
      <c r="S61" s="828">
        <v>0</v>
      </c>
      <c r="T61" s="829">
        <v>0</v>
      </c>
      <c r="U61" s="829">
        <v>826.93</v>
      </c>
      <c r="V61" s="372">
        <f>U61/$U$70*1000</f>
        <v>92.51</v>
      </c>
      <c r="W61" s="757">
        <v>0</v>
      </c>
      <c r="X61" s="393">
        <f t="shared" ref="X61:X67" si="57">W61/$W$70*1000</f>
        <v>0</v>
      </c>
      <c r="Y61" s="406">
        <v>0</v>
      </c>
      <c r="Z61" s="755">
        <v>0</v>
      </c>
      <c r="AA61" s="755">
        <v>0</v>
      </c>
      <c r="AB61" s="757">
        <v>0</v>
      </c>
      <c r="AC61" s="393">
        <f t="shared" ref="AC61:AC67" si="58">AB61/$AB$70*1000</f>
        <v>0</v>
      </c>
      <c r="AD61" s="986">
        <f t="shared" si="4"/>
        <v>0</v>
      </c>
    </row>
    <row r="62" spans="1:109" s="285" customFormat="1" ht="21.95" customHeight="1">
      <c r="A62" s="682">
        <v>7</v>
      </c>
      <c r="B62" s="901" t="s">
        <v>140</v>
      </c>
      <c r="C62" s="777">
        <f>G62+M62+S62</f>
        <v>0</v>
      </c>
      <c r="D62" s="372">
        <f>H62+N62+T62</f>
        <v>0</v>
      </c>
      <c r="E62" s="372">
        <f t="shared" si="54"/>
        <v>0</v>
      </c>
      <c r="F62" s="405">
        <f t="shared" ref="F62:F67" si="59">E62/$E$70*1000</f>
        <v>0</v>
      </c>
      <c r="G62" s="406">
        <f>SUM(G63:G67)</f>
        <v>0</v>
      </c>
      <c r="H62" s="755">
        <f>SUM(H63:H67)</f>
        <v>0</v>
      </c>
      <c r="I62" s="755">
        <f>SUM(I63:I67)</f>
        <v>0</v>
      </c>
      <c r="J62" s="755">
        <f t="shared" ref="J62:AA62" si="60">SUM(J63:J67)</f>
        <v>0</v>
      </c>
      <c r="K62" s="755">
        <f t="shared" si="60"/>
        <v>0</v>
      </c>
      <c r="L62" s="744">
        <f t="shared" si="41"/>
        <v>0</v>
      </c>
      <c r="M62" s="406">
        <f>SUM(M63:M67)</f>
        <v>0</v>
      </c>
      <c r="N62" s="878">
        <f>SUM(N63:N67)</f>
        <v>0</v>
      </c>
      <c r="O62" s="406">
        <f t="shared" si="60"/>
        <v>0</v>
      </c>
      <c r="P62" s="755">
        <f t="shared" si="60"/>
        <v>0</v>
      </c>
      <c r="Q62" s="755">
        <f t="shared" si="60"/>
        <v>0</v>
      </c>
      <c r="R62" s="405">
        <f t="shared" si="60"/>
        <v>0</v>
      </c>
      <c r="S62" s="406">
        <f>SUM(S63:S67)</f>
        <v>0</v>
      </c>
      <c r="T62" s="755">
        <f>SUM(T63:T67)</f>
        <v>0</v>
      </c>
      <c r="U62" s="755">
        <f t="shared" si="60"/>
        <v>0</v>
      </c>
      <c r="V62" s="755">
        <f t="shared" si="60"/>
        <v>0</v>
      </c>
      <c r="W62" s="755">
        <f t="shared" si="60"/>
        <v>0</v>
      </c>
      <c r="X62" s="393">
        <f t="shared" si="57"/>
        <v>0</v>
      </c>
      <c r="Y62" s="406">
        <f>SUM(Y63:Y67)</f>
        <v>0</v>
      </c>
      <c r="Z62" s="755">
        <f>SUM(Z63:Z67)</f>
        <v>0</v>
      </c>
      <c r="AA62" s="755">
        <f t="shared" si="60"/>
        <v>0</v>
      </c>
      <c r="AB62" s="755">
        <f>SUM(AB63:AB67)</f>
        <v>0</v>
      </c>
      <c r="AC62" s="393">
        <f t="shared" si="58"/>
        <v>0</v>
      </c>
      <c r="AD62" s="986">
        <f t="shared" si="4"/>
        <v>0</v>
      </c>
      <c r="AE62" s="646"/>
      <c r="AF62" s="646"/>
      <c r="AG62" s="646"/>
      <c r="AH62" s="646"/>
      <c r="AI62" s="646"/>
    </row>
    <row r="63" spans="1:109" s="288" customFormat="1" ht="18" customHeight="1">
      <c r="A63" s="683" t="s">
        <v>66</v>
      </c>
      <c r="B63" s="897" t="s">
        <v>67</v>
      </c>
      <c r="C63" s="410">
        <v>0</v>
      </c>
      <c r="D63" s="756">
        <v>0</v>
      </c>
      <c r="E63" s="373">
        <f t="shared" si="54"/>
        <v>0</v>
      </c>
      <c r="F63" s="408">
        <f t="shared" si="59"/>
        <v>0</v>
      </c>
      <c r="G63" s="410">
        <v>0</v>
      </c>
      <c r="H63" s="756">
        <v>0</v>
      </c>
      <c r="I63" s="373">
        <f>'Додаток2 скор'!K54</f>
        <v>0</v>
      </c>
      <c r="J63" s="756">
        <f>I63/$I$70*1000</f>
        <v>0</v>
      </c>
      <c r="K63" s="756">
        <f>I63</f>
        <v>0</v>
      </c>
      <c r="L63" s="742">
        <f t="shared" si="41"/>
        <v>0</v>
      </c>
      <c r="M63" s="410">
        <v>0</v>
      </c>
      <c r="N63" s="877">
        <v>0</v>
      </c>
      <c r="O63" s="407">
        <f>'Додаток2 скор'!P54</f>
        <v>0</v>
      </c>
      <c r="P63" s="373">
        <f>O63/$O$70*1000</f>
        <v>0</v>
      </c>
      <c r="Q63" s="756">
        <f>O63</f>
        <v>0</v>
      </c>
      <c r="R63" s="408">
        <f>Q63/$Q$70*1000</f>
        <v>0</v>
      </c>
      <c r="S63" s="410">
        <v>0</v>
      </c>
      <c r="T63" s="756">
        <v>0</v>
      </c>
      <c r="U63" s="373">
        <f>'Додаток2 скор'!U54</f>
        <v>0</v>
      </c>
      <c r="V63" s="756">
        <f>U63/$U$70*1000</f>
        <v>0</v>
      </c>
      <c r="W63" s="756">
        <f>U63</f>
        <v>0</v>
      </c>
      <c r="X63" s="395">
        <f t="shared" si="57"/>
        <v>0</v>
      </c>
      <c r="Y63" s="410">
        <v>0</v>
      </c>
      <c r="Z63" s="756">
        <v>0</v>
      </c>
      <c r="AA63" s="756">
        <v>0</v>
      </c>
      <c r="AB63" s="756">
        <f t="shared" si="55"/>
        <v>0</v>
      </c>
      <c r="AC63" s="395">
        <f t="shared" si="58"/>
        <v>0</v>
      </c>
      <c r="AD63" s="986">
        <f t="shared" si="4"/>
        <v>0</v>
      </c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/>
      <c r="BF63" s="287"/>
      <c r="BG63" s="287"/>
      <c r="BH63" s="287"/>
      <c r="BI63" s="287"/>
      <c r="BJ63" s="287"/>
      <c r="BK63" s="287"/>
      <c r="BL63" s="287"/>
      <c r="BM63" s="287"/>
      <c r="BN63" s="287"/>
      <c r="BO63" s="287"/>
      <c r="BP63" s="287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  <c r="CC63" s="287"/>
      <c r="CD63" s="287"/>
      <c r="CE63" s="287"/>
      <c r="CF63" s="287"/>
      <c r="CG63" s="287"/>
      <c r="CH63" s="287"/>
      <c r="CI63" s="287"/>
      <c r="CJ63" s="287"/>
      <c r="CK63" s="287"/>
      <c r="CL63" s="287"/>
      <c r="CM63" s="287"/>
      <c r="CN63" s="287"/>
      <c r="CO63" s="287"/>
      <c r="CP63" s="287"/>
      <c r="CQ63" s="287"/>
      <c r="CR63" s="287"/>
      <c r="CS63" s="287"/>
      <c r="CT63" s="287"/>
      <c r="CU63" s="287"/>
      <c r="CV63" s="287"/>
      <c r="CW63" s="287"/>
      <c r="CX63" s="287"/>
      <c r="CY63" s="287"/>
      <c r="CZ63" s="287"/>
      <c r="DA63" s="287"/>
      <c r="DB63" s="287"/>
      <c r="DC63" s="287"/>
      <c r="DD63" s="287"/>
      <c r="DE63" s="287"/>
    </row>
    <row r="64" spans="1:109" s="288" customFormat="1" ht="18" customHeight="1">
      <c r="A64" s="683" t="s">
        <v>68</v>
      </c>
      <c r="B64" s="897" t="s">
        <v>69</v>
      </c>
      <c r="C64" s="410">
        <v>0</v>
      </c>
      <c r="D64" s="756">
        <v>0</v>
      </c>
      <c r="E64" s="373">
        <f t="shared" si="54"/>
        <v>0</v>
      </c>
      <c r="F64" s="408">
        <f t="shared" si="59"/>
        <v>0</v>
      </c>
      <c r="G64" s="410">
        <v>0</v>
      </c>
      <c r="H64" s="756">
        <v>0</v>
      </c>
      <c r="I64" s="373">
        <v>0</v>
      </c>
      <c r="J64" s="756">
        <f>I64/$I$70*1000</f>
        <v>0</v>
      </c>
      <c r="K64" s="756">
        <f>I64</f>
        <v>0</v>
      </c>
      <c r="L64" s="742">
        <f t="shared" si="41"/>
        <v>0</v>
      </c>
      <c r="M64" s="410">
        <v>0</v>
      </c>
      <c r="N64" s="877">
        <v>0</v>
      </c>
      <c r="O64" s="407">
        <v>0</v>
      </c>
      <c r="P64" s="373">
        <f>ROUND(O64/$O$70*1000,2)</f>
        <v>0</v>
      </c>
      <c r="Q64" s="756">
        <f>O64</f>
        <v>0</v>
      </c>
      <c r="R64" s="408">
        <f>Q64/$Q$70*1000</f>
        <v>0</v>
      </c>
      <c r="S64" s="410">
        <v>0</v>
      </c>
      <c r="T64" s="756">
        <v>0</v>
      </c>
      <c r="U64" s="373">
        <v>0</v>
      </c>
      <c r="V64" s="756">
        <f>U64/$U$70*1000</f>
        <v>0</v>
      </c>
      <c r="W64" s="756">
        <f>U64</f>
        <v>0</v>
      </c>
      <c r="X64" s="395">
        <f t="shared" si="57"/>
        <v>0</v>
      </c>
      <c r="Y64" s="410">
        <v>0</v>
      </c>
      <c r="Z64" s="756">
        <v>0</v>
      </c>
      <c r="AA64" s="756">
        <v>0</v>
      </c>
      <c r="AB64" s="756">
        <f t="shared" si="55"/>
        <v>0</v>
      </c>
      <c r="AC64" s="395">
        <f t="shared" si="58"/>
        <v>0</v>
      </c>
      <c r="AD64" s="986">
        <f t="shared" si="4"/>
        <v>0</v>
      </c>
      <c r="AE64" s="287"/>
      <c r="AF64" s="287"/>
      <c r="AG64" s="287"/>
      <c r="AH64" s="287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287"/>
      <c r="BL64" s="287"/>
      <c r="BM64" s="287"/>
      <c r="BN64" s="287"/>
      <c r="BO64" s="287"/>
      <c r="BP64" s="287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  <c r="CC64" s="287"/>
      <c r="CD64" s="287"/>
      <c r="CE64" s="287"/>
      <c r="CF64" s="287"/>
      <c r="CG64" s="287"/>
      <c r="CH64" s="287"/>
      <c r="CI64" s="287"/>
      <c r="CJ64" s="287"/>
      <c r="CK64" s="287"/>
      <c r="CL64" s="287"/>
      <c r="CM64" s="287"/>
      <c r="CN64" s="287"/>
      <c r="CO64" s="287"/>
      <c r="CP64" s="287"/>
      <c r="CQ64" s="287"/>
      <c r="CR64" s="287"/>
      <c r="CS64" s="287"/>
      <c r="CT64" s="287"/>
      <c r="CU64" s="287"/>
      <c r="CV64" s="287"/>
      <c r="CW64" s="287"/>
      <c r="CX64" s="287"/>
      <c r="CY64" s="287"/>
      <c r="CZ64" s="287"/>
      <c r="DA64" s="287"/>
      <c r="DB64" s="287"/>
      <c r="DC64" s="287"/>
      <c r="DD64" s="287"/>
      <c r="DE64" s="287"/>
    </row>
    <row r="65" spans="1:109" s="288" customFormat="1" ht="18" customHeight="1">
      <c r="A65" s="683" t="s">
        <v>68</v>
      </c>
      <c r="B65" s="897" t="str">
        <f>'Додаток2 скор'!B56</f>
        <v xml:space="preserve">резервний фонд (капітал) та дивіденди </v>
      </c>
      <c r="C65" s="410">
        <v>0</v>
      </c>
      <c r="D65" s="756">
        <v>0</v>
      </c>
      <c r="E65" s="373">
        <f t="shared" si="54"/>
        <v>0</v>
      </c>
      <c r="F65" s="408">
        <f t="shared" si="59"/>
        <v>0</v>
      </c>
      <c r="G65" s="410">
        <v>0</v>
      </c>
      <c r="H65" s="756">
        <v>0</v>
      </c>
      <c r="I65" s="373">
        <f>'Додаток2 скор'!K56</f>
        <v>0</v>
      </c>
      <c r="J65" s="756">
        <f>I65/$I$70*1000</f>
        <v>0</v>
      </c>
      <c r="K65" s="756">
        <f>I65</f>
        <v>0</v>
      </c>
      <c r="L65" s="742">
        <f t="shared" si="41"/>
        <v>0</v>
      </c>
      <c r="M65" s="410">
        <v>0</v>
      </c>
      <c r="N65" s="877">
        <v>0</v>
      </c>
      <c r="O65" s="407">
        <f>'Додаток2 скор'!P56</f>
        <v>0</v>
      </c>
      <c r="P65" s="373">
        <f>O65/$O$70*1000</f>
        <v>0</v>
      </c>
      <c r="Q65" s="756">
        <f>O65</f>
        <v>0</v>
      </c>
      <c r="R65" s="408">
        <f>Q65/$Q$70*1000</f>
        <v>0</v>
      </c>
      <c r="S65" s="410">
        <v>0</v>
      </c>
      <c r="T65" s="756">
        <v>0</v>
      </c>
      <c r="U65" s="373">
        <f>'Додаток2 скор'!U56</f>
        <v>0</v>
      </c>
      <c r="V65" s="756">
        <f>U65/$U$70*1000</f>
        <v>0</v>
      </c>
      <c r="W65" s="756">
        <f>U65</f>
        <v>0</v>
      </c>
      <c r="X65" s="395">
        <f t="shared" si="57"/>
        <v>0</v>
      </c>
      <c r="Y65" s="410">
        <v>0</v>
      </c>
      <c r="Z65" s="756">
        <v>0</v>
      </c>
      <c r="AA65" s="756">
        <v>0</v>
      </c>
      <c r="AB65" s="756">
        <f t="shared" si="55"/>
        <v>0</v>
      </c>
      <c r="AC65" s="395">
        <f t="shared" si="58"/>
        <v>0</v>
      </c>
      <c r="AD65" s="986">
        <f t="shared" si="4"/>
        <v>0</v>
      </c>
      <c r="AE65" s="290"/>
      <c r="AF65" s="290"/>
      <c r="AG65" s="290"/>
      <c r="AH65" s="290"/>
      <c r="AI65" s="290"/>
      <c r="AJ65" s="287"/>
      <c r="AK65" s="287"/>
      <c r="AL65" s="287"/>
      <c r="AM65" s="287"/>
      <c r="AN65" s="287"/>
      <c r="AO65" s="287"/>
      <c r="AP65" s="287"/>
      <c r="AQ65" s="287"/>
      <c r="AR65" s="287"/>
      <c r="AS65" s="287"/>
      <c r="AT65" s="287"/>
      <c r="AU65" s="287"/>
      <c r="AV65" s="287"/>
      <c r="AW65" s="287"/>
      <c r="AX65" s="287"/>
      <c r="AY65" s="287"/>
      <c r="AZ65" s="287"/>
      <c r="BA65" s="287"/>
      <c r="BB65" s="287"/>
      <c r="BC65" s="287"/>
      <c r="BD65" s="287"/>
      <c r="BE65" s="287"/>
      <c r="BF65" s="287"/>
      <c r="BG65" s="287"/>
      <c r="BH65" s="287"/>
      <c r="BI65" s="287"/>
      <c r="BJ65" s="287"/>
      <c r="BK65" s="287"/>
      <c r="BL65" s="287"/>
      <c r="BM65" s="287"/>
      <c r="BN65" s="287"/>
      <c r="BO65" s="287"/>
      <c r="BP65" s="287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  <c r="CF65" s="287"/>
      <c r="CG65" s="287"/>
      <c r="CH65" s="287"/>
      <c r="CI65" s="287"/>
      <c r="CJ65" s="287"/>
      <c r="CK65" s="287"/>
      <c r="CL65" s="287"/>
      <c r="CM65" s="287"/>
      <c r="CN65" s="287"/>
      <c r="CO65" s="287"/>
      <c r="CP65" s="287"/>
      <c r="CQ65" s="287"/>
      <c r="CR65" s="287"/>
      <c r="CS65" s="287"/>
      <c r="CT65" s="287"/>
      <c r="CU65" s="287"/>
      <c r="CV65" s="287"/>
      <c r="CW65" s="287"/>
      <c r="CX65" s="287"/>
      <c r="CY65" s="287"/>
      <c r="CZ65" s="287"/>
      <c r="DA65" s="287"/>
      <c r="DB65" s="287"/>
      <c r="DC65" s="287"/>
      <c r="DD65" s="287"/>
      <c r="DE65" s="287"/>
    </row>
    <row r="66" spans="1:109" s="288" customFormat="1" ht="18" customHeight="1">
      <c r="A66" s="683" t="s">
        <v>70</v>
      </c>
      <c r="B66" s="897" t="s">
        <v>72</v>
      </c>
      <c r="C66" s="410">
        <v>0</v>
      </c>
      <c r="D66" s="756">
        <v>0</v>
      </c>
      <c r="E66" s="373">
        <f t="shared" si="54"/>
        <v>0</v>
      </c>
      <c r="F66" s="408">
        <f t="shared" si="59"/>
        <v>0</v>
      </c>
      <c r="G66" s="410">
        <v>0</v>
      </c>
      <c r="H66" s="756">
        <v>0</v>
      </c>
      <c r="I66" s="373">
        <f>'Додаток2 скор'!K57</f>
        <v>0</v>
      </c>
      <c r="J66" s="756">
        <f>I66/$I$70*1000</f>
        <v>0</v>
      </c>
      <c r="K66" s="756">
        <f>I66</f>
        <v>0</v>
      </c>
      <c r="L66" s="742">
        <f t="shared" si="41"/>
        <v>0</v>
      </c>
      <c r="M66" s="410">
        <v>0</v>
      </c>
      <c r="N66" s="877">
        <v>0</v>
      </c>
      <c r="O66" s="407">
        <f>'Додаток2 скор'!P57</f>
        <v>0</v>
      </c>
      <c r="P66" s="373">
        <f>O66/$O$70*1000</f>
        <v>0</v>
      </c>
      <c r="Q66" s="756">
        <f>O66</f>
        <v>0</v>
      </c>
      <c r="R66" s="408">
        <f>Q66/$Q$70*1000</f>
        <v>0</v>
      </c>
      <c r="S66" s="410">
        <v>0</v>
      </c>
      <c r="T66" s="756">
        <v>0</v>
      </c>
      <c r="U66" s="373">
        <f>'Додаток2 скор'!U57</f>
        <v>0</v>
      </c>
      <c r="V66" s="756">
        <f>U66/$U$70*1000</f>
        <v>0</v>
      </c>
      <c r="W66" s="756">
        <f>U66</f>
        <v>0</v>
      </c>
      <c r="X66" s="395">
        <f t="shared" si="57"/>
        <v>0</v>
      </c>
      <c r="Y66" s="410">
        <v>0</v>
      </c>
      <c r="Z66" s="756">
        <v>0</v>
      </c>
      <c r="AA66" s="756">
        <v>0</v>
      </c>
      <c r="AB66" s="756">
        <f t="shared" si="55"/>
        <v>0</v>
      </c>
      <c r="AC66" s="395">
        <f t="shared" si="58"/>
        <v>0</v>
      </c>
      <c r="AD66" s="986">
        <f t="shared" si="4"/>
        <v>0</v>
      </c>
      <c r="AE66" s="290"/>
      <c r="AF66" s="290"/>
      <c r="AG66" s="290"/>
      <c r="AH66" s="290"/>
      <c r="AI66" s="290"/>
      <c r="AJ66" s="287"/>
      <c r="AK66" s="287"/>
      <c r="AL66" s="287"/>
      <c r="AM66" s="287"/>
      <c r="AN66" s="287"/>
      <c r="AO66" s="287"/>
      <c r="AP66" s="287"/>
      <c r="AQ66" s="287"/>
      <c r="AR66" s="287"/>
      <c r="AS66" s="287"/>
      <c r="AT66" s="287"/>
      <c r="AU66" s="287"/>
      <c r="AV66" s="287"/>
      <c r="AW66" s="287"/>
      <c r="AX66" s="287"/>
      <c r="AY66" s="287"/>
      <c r="AZ66" s="287"/>
      <c r="BA66" s="287"/>
      <c r="BB66" s="287"/>
      <c r="BC66" s="287"/>
      <c r="BD66" s="287"/>
      <c r="BE66" s="287"/>
      <c r="BF66" s="287"/>
      <c r="BG66" s="287"/>
      <c r="BH66" s="287"/>
      <c r="BI66" s="287"/>
      <c r="BJ66" s="287"/>
      <c r="BK66" s="287"/>
      <c r="BL66" s="287"/>
      <c r="BM66" s="287"/>
      <c r="BN66" s="287"/>
      <c r="BO66" s="287"/>
      <c r="BP66" s="287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  <c r="CF66" s="287"/>
      <c r="CG66" s="287"/>
      <c r="CH66" s="287"/>
      <c r="CI66" s="287"/>
      <c r="CJ66" s="287"/>
      <c r="CK66" s="287"/>
      <c r="CL66" s="287"/>
      <c r="CM66" s="287"/>
      <c r="CN66" s="287"/>
      <c r="CO66" s="287"/>
      <c r="CP66" s="287"/>
      <c r="CQ66" s="287"/>
      <c r="CR66" s="287"/>
      <c r="CS66" s="287"/>
      <c r="CT66" s="287"/>
      <c r="CU66" s="287"/>
      <c r="CV66" s="287"/>
      <c r="CW66" s="287"/>
      <c r="CX66" s="287"/>
      <c r="CY66" s="287"/>
      <c r="CZ66" s="287"/>
      <c r="DA66" s="287"/>
      <c r="DB66" s="287"/>
      <c r="DC66" s="287"/>
      <c r="DD66" s="287"/>
      <c r="DE66" s="287"/>
    </row>
    <row r="67" spans="1:109" s="288" customFormat="1" ht="33.75" customHeight="1">
      <c r="A67" s="683" t="s">
        <v>71</v>
      </c>
      <c r="B67" s="897" t="str">
        <f>'Додаток2 скор'!B58</f>
        <v>інше використання прибутку (прибуток у тарифах НКРЕ)</v>
      </c>
      <c r="C67" s="410">
        <v>0</v>
      </c>
      <c r="D67" s="756">
        <v>0</v>
      </c>
      <c r="E67" s="373">
        <f t="shared" si="54"/>
        <v>0</v>
      </c>
      <c r="F67" s="408">
        <f t="shared" si="59"/>
        <v>0</v>
      </c>
      <c r="G67" s="410">
        <v>0</v>
      </c>
      <c r="H67" s="756">
        <v>0</v>
      </c>
      <c r="I67" s="373">
        <f>'Додаток2 скор'!K58</f>
        <v>0</v>
      </c>
      <c r="J67" s="756">
        <f>I67/$I$70*1000</f>
        <v>0</v>
      </c>
      <c r="K67" s="756">
        <f>I67</f>
        <v>0</v>
      </c>
      <c r="L67" s="742">
        <f t="shared" si="41"/>
        <v>0</v>
      </c>
      <c r="M67" s="410">
        <v>0</v>
      </c>
      <c r="N67" s="877">
        <v>0</v>
      </c>
      <c r="O67" s="407">
        <f>'Додаток2 скор'!P58</f>
        <v>0</v>
      </c>
      <c r="P67" s="373">
        <f>O67/$O$70*1000</f>
        <v>0</v>
      </c>
      <c r="Q67" s="756">
        <f>O67</f>
        <v>0</v>
      </c>
      <c r="R67" s="408">
        <f>Q67/$Q$70*1000</f>
        <v>0</v>
      </c>
      <c r="S67" s="410">
        <v>0</v>
      </c>
      <c r="T67" s="756">
        <v>0</v>
      </c>
      <c r="U67" s="373">
        <f>'Додаток2 скор'!U58</f>
        <v>0</v>
      </c>
      <c r="V67" s="756">
        <f>U67/$U$70*1000</f>
        <v>0</v>
      </c>
      <c r="W67" s="756">
        <f>U67</f>
        <v>0</v>
      </c>
      <c r="X67" s="395">
        <f t="shared" si="57"/>
        <v>0</v>
      </c>
      <c r="Y67" s="410">
        <v>0</v>
      </c>
      <c r="Z67" s="756">
        <v>0</v>
      </c>
      <c r="AA67" s="756">
        <v>0</v>
      </c>
      <c r="AB67" s="756">
        <f t="shared" si="55"/>
        <v>0</v>
      </c>
      <c r="AC67" s="395">
        <f t="shared" si="58"/>
        <v>0</v>
      </c>
      <c r="AD67" s="986">
        <f t="shared" si="4"/>
        <v>0</v>
      </c>
      <c r="AE67" s="290"/>
      <c r="AF67" s="290"/>
      <c r="AG67" s="290"/>
      <c r="AH67" s="290"/>
      <c r="AI67" s="290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  <c r="CC67" s="287"/>
      <c r="CD67" s="287"/>
      <c r="CE67" s="287"/>
      <c r="CF67" s="287"/>
      <c r="CG67" s="287"/>
      <c r="CH67" s="287"/>
      <c r="CI67" s="287"/>
      <c r="CJ67" s="287"/>
      <c r="CK67" s="287"/>
      <c r="CL67" s="287"/>
      <c r="CM67" s="287"/>
      <c r="CN67" s="287"/>
      <c r="CO67" s="287"/>
      <c r="CP67" s="287"/>
      <c r="CQ67" s="287"/>
      <c r="CR67" s="287"/>
      <c r="CS67" s="287"/>
      <c r="CT67" s="287"/>
      <c r="CU67" s="287"/>
      <c r="CV67" s="287"/>
      <c r="CW67" s="287"/>
      <c r="CX67" s="287"/>
      <c r="CY67" s="287"/>
      <c r="CZ67" s="287"/>
      <c r="DA67" s="287"/>
      <c r="DB67" s="287"/>
      <c r="DC67" s="287"/>
      <c r="DD67" s="287"/>
      <c r="DE67" s="287"/>
    </row>
    <row r="68" spans="1:109" s="290" customFormat="1" ht="32.25" customHeight="1">
      <c r="A68" s="683">
        <v>8</v>
      </c>
      <c r="B68" s="897" t="s">
        <v>74</v>
      </c>
      <c r="C68" s="407">
        <f>C60+C61+C62</f>
        <v>104077.02</v>
      </c>
      <c r="D68" s="373">
        <f ca="1">D60+D61+D62</f>
        <v>167323.39000000001</v>
      </c>
      <c r="E68" s="373">
        <f t="shared" si="54"/>
        <v>280394.58</v>
      </c>
      <c r="F68" s="408">
        <f>F60+F62</f>
        <v>1183.73</v>
      </c>
      <c r="G68" s="410">
        <f ca="1">G60+G61+G62</f>
        <v>94600.81</v>
      </c>
      <c r="H68" s="756">
        <f ca="1">H60+H61+H62</f>
        <v>130950.19</v>
      </c>
      <c r="I68" s="756">
        <f>I60+I61+I62</f>
        <v>229233.51</v>
      </c>
      <c r="J68" s="756">
        <f t="shared" ref="J68:AA68" si="61">J60+J61+J62</f>
        <v>1116.53</v>
      </c>
      <c r="K68" s="756">
        <f t="shared" si="61"/>
        <v>226511.18</v>
      </c>
      <c r="L68" s="742">
        <f t="shared" si="41"/>
        <v>1113.6400000000001</v>
      </c>
      <c r="M68" s="743">
        <f t="shared" ca="1" si="61"/>
        <v>33986.910000000003</v>
      </c>
      <c r="N68" s="881">
        <f t="shared" ca="1" si="61"/>
        <v>31091.81</v>
      </c>
      <c r="O68" s="743">
        <f t="shared" si="61"/>
        <v>33064.26</v>
      </c>
      <c r="P68" s="758">
        <f>P60+P61+P62+0.01</f>
        <v>1213.6300000000001</v>
      </c>
      <c r="Q68" s="758">
        <f t="shared" si="61"/>
        <v>42708.1</v>
      </c>
      <c r="R68" s="742">
        <f t="shared" si="61"/>
        <v>1611.17</v>
      </c>
      <c r="S68" s="743">
        <f t="shared" ca="1" si="61"/>
        <v>5962.59</v>
      </c>
      <c r="T68" s="758">
        <f t="shared" ca="1" si="61"/>
        <v>5261.24</v>
      </c>
      <c r="U68" s="758">
        <f t="shared" si="61"/>
        <v>13946.69</v>
      </c>
      <c r="V68" s="758">
        <f t="shared" si="61"/>
        <v>1560.24</v>
      </c>
      <c r="W68" s="758">
        <f t="shared" si="61"/>
        <v>11131.47</v>
      </c>
      <c r="X68" s="395">
        <f>X60+X61+X62</f>
        <v>1611.17</v>
      </c>
      <c r="Y68" s="410">
        <f t="shared" ca="1" si="61"/>
        <v>36.299999999999997</v>
      </c>
      <c r="Z68" s="756">
        <f t="shared" ca="1" si="61"/>
        <v>28.09</v>
      </c>
      <c r="AA68" s="756">
        <f t="shared" si="61"/>
        <v>739.05</v>
      </c>
      <c r="AB68" s="758">
        <f>AB60+AB61+AB62</f>
        <v>43.83</v>
      </c>
      <c r="AC68" s="395">
        <f>AC60+AC61+AC62</f>
        <v>720.3</v>
      </c>
      <c r="AD68" s="986">
        <f t="shared" si="4"/>
        <v>0</v>
      </c>
    </row>
    <row r="69" spans="1:109" s="285" customFormat="1" ht="38.25" customHeight="1">
      <c r="A69" s="682">
        <v>9</v>
      </c>
      <c r="B69" s="900" t="s">
        <v>115</v>
      </c>
      <c r="C69" s="1014"/>
      <c r="D69" s="222"/>
      <c r="E69" s="372"/>
      <c r="F69" s="405">
        <f>F68</f>
        <v>1183.73</v>
      </c>
      <c r="G69" s="406"/>
      <c r="H69" s="755"/>
      <c r="I69" s="755"/>
      <c r="J69" s="755">
        <f>J68</f>
        <v>1116.53</v>
      </c>
      <c r="K69" s="755"/>
      <c r="L69" s="744">
        <f>L68</f>
        <v>1113.6400000000001</v>
      </c>
      <c r="M69" s="406"/>
      <c r="N69" s="878"/>
      <c r="O69" s="745"/>
      <c r="P69" s="759">
        <f>P68</f>
        <v>1213.6300000000001</v>
      </c>
      <c r="Q69" s="759"/>
      <c r="R69" s="744">
        <f>R68</f>
        <v>1611.17</v>
      </c>
      <c r="S69" s="745"/>
      <c r="T69" s="759"/>
      <c r="U69" s="759"/>
      <c r="V69" s="759">
        <f>V68</f>
        <v>1560.24</v>
      </c>
      <c r="W69" s="759">
        <f>U69</f>
        <v>0</v>
      </c>
      <c r="X69" s="744">
        <f>X68</f>
        <v>1611.17</v>
      </c>
      <c r="Y69" s="745"/>
      <c r="Z69" s="759"/>
      <c r="AA69" s="755">
        <f>AA68</f>
        <v>739.05</v>
      </c>
      <c r="AB69" s="755"/>
      <c r="AC69" s="405">
        <f>AC68</f>
        <v>720.3</v>
      </c>
      <c r="AD69" s="988"/>
      <c r="AE69" s="287"/>
      <c r="AF69" s="287"/>
      <c r="AG69" s="287"/>
      <c r="AH69" s="287"/>
      <c r="AI69" s="287"/>
    </row>
    <row r="70" spans="1:109" s="290" customFormat="1" ht="37.5" customHeight="1">
      <c r="A70" s="683">
        <v>10</v>
      </c>
      <c r="B70" s="897" t="s">
        <v>118</v>
      </c>
      <c r="C70" s="407">
        <f>G70+M70+S70</f>
        <v>156086.81</v>
      </c>
      <c r="D70" s="373">
        <f>H70+N70+T70</f>
        <v>178795</v>
      </c>
      <c r="E70" s="373">
        <f>K70+Q70+W70+AB70</f>
        <v>236872.88</v>
      </c>
      <c r="F70" s="409"/>
      <c r="G70" s="407">
        <f>'Додаток1 ТЭ'!G69</f>
        <v>131286.75</v>
      </c>
      <c r="H70" s="373">
        <f>'Додаток1 ТЭ'!H69</f>
        <v>152840.53</v>
      </c>
      <c r="I70" s="373">
        <f>'Додаток1 ТЭ'!I69</f>
        <v>205308.92</v>
      </c>
      <c r="J70" s="373"/>
      <c r="K70" s="373">
        <f>'Додаток1 ТЭ'!K69</f>
        <v>203396.26</v>
      </c>
      <c r="L70" s="409"/>
      <c r="M70" s="407">
        <f>'Додаток1 ТЭ'!M69</f>
        <v>21318.05</v>
      </c>
      <c r="N70" s="645">
        <f>'Додаток1 ТЭ'!N69</f>
        <v>22497.77</v>
      </c>
      <c r="O70" s="407">
        <f>'Додаток1 ТЭ'!O69</f>
        <v>27244.13</v>
      </c>
      <c r="P70" s="373"/>
      <c r="Q70" s="373">
        <f>'Додаток1 ТЭ'!Q69</f>
        <v>26506.98</v>
      </c>
      <c r="R70" s="409"/>
      <c r="S70" s="407">
        <f>'Додаток1 ТЭ'!S69</f>
        <v>3482.01</v>
      </c>
      <c r="T70" s="373">
        <f>'Додаток1 ТЭ'!T69</f>
        <v>3456.7</v>
      </c>
      <c r="U70" s="373">
        <f>'Додаток1 ТЭ'!U69</f>
        <v>8938.82</v>
      </c>
      <c r="V70" s="373"/>
      <c r="W70" s="373">
        <f>'Додаток1 ТЭ'!W69</f>
        <v>6908.81</v>
      </c>
      <c r="X70" s="409"/>
      <c r="Y70" s="407">
        <f>'Додаток1 ТЭ'!Y69</f>
        <v>35.68</v>
      </c>
      <c r="Z70" s="373">
        <f>'Додаток1 ТЭ'!Z69</f>
        <v>40.380000000000003</v>
      </c>
      <c r="AA70" s="373"/>
      <c r="AB70" s="373">
        <f>'Додаток1 ТЭ'!AB69</f>
        <v>60.83</v>
      </c>
      <c r="AC70" s="409"/>
      <c r="AD70" s="989"/>
      <c r="AE70" s="287"/>
      <c r="AF70" s="287"/>
      <c r="AG70" s="287"/>
      <c r="AH70" s="287"/>
      <c r="AI70" s="287"/>
    </row>
    <row r="71" spans="1:109" s="288" customFormat="1" ht="26.25" customHeight="1" thickBot="1">
      <c r="A71" s="640">
        <v>11</v>
      </c>
      <c r="B71" s="902" t="s">
        <v>204</v>
      </c>
      <c r="C71" s="1015"/>
      <c r="D71" s="769"/>
      <c r="E71" s="770">
        <f>E62/E60*100</f>
        <v>0</v>
      </c>
      <c r="F71" s="771">
        <f>F62/F60*100</f>
        <v>0</v>
      </c>
      <c r="G71" s="389"/>
      <c r="H71" s="770"/>
      <c r="I71" s="770">
        <f>I62/I60*100</f>
        <v>0</v>
      </c>
      <c r="J71" s="770">
        <f>J62/J60*100</f>
        <v>0</v>
      </c>
      <c r="K71" s="773">
        <f>I71</f>
        <v>0</v>
      </c>
      <c r="L71" s="774">
        <f>J71</f>
        <v>0</v>
      </c>
      <c r="M71" s="776"/>
      <c r="N71" s="882"/>
      <c r="O71" s="389">
        <f>O62/O60*100</f>
        <v>0</v>
      </c>
      <c r="P71" s="770">
        <f>P62/P60*100</f>
        <v>0</v>
      </c>
      <c r="Q71" s="773">
        <f>O71</f>
        <v>0</v>
      </c>
      <c r="R71" s="774">
        <f>P71</f>
        <v>0</v>
      </c>
      <c r="S71" s="776"/>
      <c r="T71" s="773"/>
      <c r="U71" s="770">
        <f>U62/U60*100</f>
        <v>0</v>
      </c>
      <c r="V71" s="770">
        <f>V62/V60*100</f>
        <v>0</v>
      </c>
      <c r="W71" s="773">
        <f>U71</f>
        <v>0</v>
      </c>
      <c r="X71" s="774">
        <f>V71</f>
        <v>0</v>
      </c>
      <c r="Y71" s="776"/>
      <c r="Z71" s="773"/>
      <c r="AA71" s="770">
        <v>0</v>
      </c>
      <c r="AB71" s="770"/>
      <c r="AC71" s="771">
        <v>0</v>
      </c>
      <c r="AD71" s="990"/>
      <c r="AE71" s="287"/>
      <c r="AF71" s="287"/>
      <c r="AG71" s="287"/>
      <c r="AH71" s="287"/>
      <c r="AI71" s="287"/>
    </row>
    <row r="72" spans="1:109" s="288" customFormat="1" ht="30.75" hidden="1" customHeight="1" thickTop="1">
      <c r="A72" s="381"/>
      <c r="B72" s="382"/>
      <c r="C72" s="382"/>
      <c r="D72" s="382"/>
      <c r="E72" s="371"/>
      <c r="F72" s="371"/>
      <c r="G72" s="371"/>
      <c r="H72" s="371"/>
      <c r="I72" s="371"/>
      <c r="J72" s="371"/>
      <c r="K72" s="371"/>
      <c r="L72" s="371"/>
      <c r="M72" s="371"/>
      <c r="N72" s="371"/>
      <c r="O72" s="371"/>
      <c r="P72" s="371">
        <v>1213.6300000000001</v>
      </c>
      <c r="Q72" s="371"/>
      <c r="R72" s="371"/>
      <c r="S72" s="371"/>
      <c r="T72" s="371"/>
      <c r="U72" s="371"/>
      <c r="V72" s="371">
        <v>1560.24</v>
      </c>
      <c r="W72" s="371"/>
      <c r="X72" s="371"/>
      <c r="Y72" s="371"/>
      <c r="Z72" s="371"/>
      <c r="AA72" s="371">
        <v>739.05</v>
      </c>
      <c r="AB72" s="371"/>
      <c r="AC72" s="371"/>
      <c r="AD72" s="990"/>
      <c r="AE72" s="287"/>
      <c r="AF72" s="287"/>
      <c r="AG72" s="287"/>
      <c r="AH72" s="287"/>
      <c r="AI72" s="287"/>
    </row>
    <row r="73" spans="1:109" s="288" customFormat="1" ht="30.75" customHeight="1" thickTop="1">
      <c r="A73" s="381"/>
      <c r="B73" s="382"/>
      <c r="C73" s="382"/>
      <c r="D73" s="382"/>
      <c r="E73" s="371"/>
      <c r="F73" s="371"/>
      <c r="G73" s="371"/>
      <c r="H73" s="371"/>
      <c r="I73" s="371"/>
      <c r="J73" s="371"/>
      <c r="K73" s="371"/>
      <c r="L73" s="371"/>
      <c r="M73" s="371"/>
      <c r="N73" s="371"/>
      <c r="O73" s="371"/>
      <c r="P73" s="371"/>
      <c r="Q73" s="371"/>
      <c r="R73" s="371"/>
      <c r="S73" s="371"/>
      <c r="T73" s="371"/>
      <c r="U73" s="371"/>
      <c r="V73" s="371"/>
      <c r="W73" s="371"/>
      <c r="X73" s="371"/>
      <c r="Y73" s="371"/>
      <c r="Z73" s="371"/>
      <c r="AA73" s="371"/>
      <c r="AB73" s="371"/>
      <c r="AC73" s="371"/>
      <c r="AD73" s="990"/>
      <c r="AE73" s="287"/>
      <c r="AF73" s="287"/>
      <c r="AG73" s="287"/>
      <c r="AH73" s="287"/>
      <c r="AI73" s="287"/>
    </row>
    <row r="74" spans="1:109" s="288" customFormat="1" ht="30.75" customHeight="1">
      <c r="A74" s="381"/>
      <c r="B74" s="382"/>
      <c r="C74" s="382"/>
      <c r="D74" s="382"/>
      <c r="E74" s="371"/>
      <c r="F74" s="371"/>
      <c r="G74" s="371"/>
      <c r="H74" s="371"/>
      <c r="I74" s="371"/>
      <c r="J74" s="371"/>
      <c r="K74" s="371"/>
      <c r="L74" s="371"/>
      <c r="M74" s="371"/>
      <c r="N74" s="371"/>
      <c r="O74" s="371"/>
      <c r="P74" s="371"/>
      <c r="Q74" s="371"/>
      <c r="R74" s="371"/>
      <c r="S74" s="371"/>
      <c r="T74" s="371"/>
      <c r="U74" s="371"/>
      <c r="V74" s="371"/>
      <c r="W74" s="371"/>
      <c r="X74" s="371"/>
      <c r="Y74" s="371"/>
      <c r="Z74" s="371"/>
      <c r="AA74" s="371"/>
      <c r="AB74" s="371"/>
      <c r="AC74" s="371"/>
      <c r="AD74" s="990"/>
      <c r="AE74" s="287"/>
      <c r="AF74" s="287"/>
      <c r="AG74" s="287"/>
      <c r="AH74" s="287"/>
      <c r="AI74" s="287"/>
    </row>
    <row r="75" spans="1:109" s="288" customFormat="1" ht="30.75" customHeight="1">
      <c r="A75" s="381"/>
      <c r="B75" s="382"/>
      <c r="C75" s="382"/>
      <c r="D75" s="382"/>
      <c r="E75" s="371"/>
      <c r="F75" s="371"/>
      <c r="G75" s="371"/>
      <c r="H75" s="371"/>
      <c r="I75" s="371"/>
      <c r="J75" s="371"/>
      <c r="K75" s="371"/>
      <c r="L75" s="371"/>
      <c r="M75" s="371"/>
      <c r="N75" s="371"/>
      <c r="O75" s="371"/>
      <c r="P75" s="371"/>
      <c r="Q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990"/>
      <c r="AE75" s="287"/>
      <c r="AF75" s="287"/>
      <c r="AG75" s="287"/>
      <c r="AH75" s="287"/>
      <c r="AI75" s="287"/>
    </row>
    <row r="76" spans="1:109" s="288" customFormat="1" ht="30.75" customHeight="1">
      <c r="A76" s="381"/>
      <c r="B76" s="382"/>
      <c r="C76" s="382"/>
      <c r="D76" s="382"/>
      <c r="E76" s="371"/>
      <c r="F76" s="371"/>
      <c r="G76" s="371"/>
      <c r="H76" s="371"/>
      <c r="I76" s="371"/>
      <c r="J76" s="371"/>
      <c r="K76" s="371"/>
      <c r="L76" s="371"/>
      <c r="M76" s="371"/>
      <c r="N76" s="371"/>
      <c r="O76" s="371"/>
      <c r="P76" s="371"/>
      <c r="Q76" s="371"/>
      <c r="R76" s="371"/>
      <c r="S76" s="371"/>
      <c r="T76" s="371"/>
      <c r="U76" s="371"/>
      <c r="V76" s="371"/>
      <c r="W76" s="371"/>
      <c r="X76" s="371"/>
      <c r="Y76" s="371"/>
      <c r="Z76" s="371"/>
      <c r="AA76" s="371"/>
      <c r="AB76" s="371"/>
      <c r="AC76" s="371"/>
      <c r="AD76" s="990"/>
      <c r="AE76" s="287"/>
      <c r="AF76" s="287"/>
      <c r="AG76" s="287"/>
      <c r="AH76" s="287"/>
      <c r="AI76" s="287"/>
    </row>
    <row r="77" spans="1:109" s="904" customFormat="1" ht="18" customHeight="1">
      <c r="A77" s="807"/>
      <c r="B77" s="904" t="s">
        <v>455</v>
      </c>
      <c r="C77" s="905" t="s">
        <v>410</v>
      </c>
      <c r="D77" s="905"/>
      <c r="E77" s="906"/>
      <c r="F77" s="906"/>
      <c r="G77" s="906"/>
      <c r="H77" s="906"/>
      <c r="I77" s="906"/>
      <c r="J77" s="906"/>
      <c r="K77" s="906"/>
      <c r="L77" s="906"/>
      <c r="M77" s="906"/>
      <c r="N77" s="906"/>
      <c r="O77" s="906"/>
      <c r="P77" s="906"/>
      <c r="Q77" s="906"/>
      <c r="R77" s="906"/>
      <c r="S77" s="906"/>
      <c r="T77" s="906"/>
      <c r="U77" s="906"/>
      <c r="V77" s="906"/>
      <c r="W77" s="906"/>
      <c r="X77" s="906"/>
      <c r="Y77" s="906"/>
      <c r="Z77" s="906"/>
      <c r="AA77" s="906"/>
      <c r="AB77" s="906"/>
      <c r="AC77" s="906"/>
      <c r="AD77" s="991"/>
      <c r="AE77" s="907"/>
      <c r="AF77" s="907"/>
      <c r="AG77" s="907"/>
      <c r="AH77" s="907"/>
      <c r="AI77" s="907"/>
    </row>
    <row r="78" spans="1:109" s="904" customFormat="1" ht="25.5" customHeight="1">
      <c r="B78" s="904" t="s">
        <v>411</v>
      </c>
      <c r="C78" s="908" t="s">
        <v>411</v>
      </c>
      <c r="D78" s="909"/>
      <c r="E78" s="909"/>
      <c r="F78" s="909"/>
      <c r="G78" s="909"/>
      <c r="H78" s="909"/>
      <c r="I78" s="909"/>
      <c r="J78" s="909"/>
      <c r="K78" s="909"/>
      <c r="O78" s="904" t="s">
        <v>391</v>
      </c>
      <c r="T78" s="908" t="s">
        <v>391</v>
      </c>
      <c r="U78" s="908"/>
      <c r="V78" s="908"/>
      <c r="X78" s="908"/>
      <c r="Y78" s="908"/>
      <c r="Z78" s="908"/>
      <c r="AA78" s="910"/>
      <c r="AB78" s="910"/>
      <c r="AC78" s="910"/>
      <c r="AD78" s="982"/>
      <c r="AE78" s="910"/>
    </row>
    <row r="79" spans="1:109" ht="16.5">
      <c r="AE79" s="285"/>
      <c r="AF79" s="285"/>
      <c r="AG79" s="285"/>
      <c r="AH79" s="285"/>
      <c r="AI79" s="285"/>
    </row>
    <row r="80" spans="1:109" ht="20.25">
      <c r="A80" s="164"/>
      <c r="O80" s="1065"/>
      <c r="P80" s="1065"/>
      <c r="Q80" s="632"/>
      <c r="R80" s="632"/>
      <c r="S80" s="632"/>
      <c r="T80" s="632"/>
      <c r="AE80" s="288"/>
      <c r="AF80" s="288"/>
      <c r="AG80" s="288"/>
      <c r="AH80" s="288"/>
      <c r="AI80" s="288"/>
    </row>
    <row r="81" spans="1:35" ht="18.75">
      <c r="B81" s="134" t="s">
        <v>452</v>
      </c>
      <c r="AE81" s="288"/>
      <c r="AF81" s="288"/>
      <c r="AG81" s="288"/>
      <c r="AH81" s="288"/>
      <c r="AI81" s="288"/>
    </row>
    <row r="82" spans="1:35" ht="20.25">
      <c r="A82" s="209"/>
      <c r="B82" s="134" t="s">
        <v>453</v>
      </c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E82" s="288"/>
      <c r="AF82" s="288"/>
      <c r="AG82" s="288"/>
      <c r="AH82" s="288"/>
      <c r="AI82" s="288"/>
    </row>
    <row r="83" spans="1:35" ht="18.75">
      <c r="AE83" s="134"/>
      <c r="AF83" s="134"/>
      <c r="AG83" s="134"/>
      <c r="AH83" s="134"/>
      <c r="AI83" s="134"/>
    </row>
  </sheetData>
  <sheetProtection selectLockedCells="1" selectUnlockedCells="1"/>
  <customSheetViews>
    <customSheetView guid="{8839ED87-9C42-4CC2-A1AD-6EF9611832A1}" scale="85" showPageBreaks="1" fitToPage="1" printArea="1" hiddenRows="1" hiddenColumns="1" view="pageBreakPreview">
      <pane xSplit="2" ySplit="10" topLeftCell="D11" activePane="bottomRight" state="frozen"/>
      <selection pane="bottomRight" activeCell="E17" sqref="E17"/>
      <pageMargins left="0.2" right="0.18" top="0.23" bottom="0.15748031496062992" header="0" footer="0"/>
      <pageSetup paperSize="9" scale="78" orientation="portrait" useFirstPageNumber="1" verticalDpi="300" r:id="rId1"/>
      <headerFooter alignWithMargins="0"/>
    </customSheetView>
    <customSheetView guid="{B233FDC7-B79B-43AD-9288-8B6C8ACB6ACB}" scale="85" showPageBreaks="1" fitToPage="1" printArea="1" view="pageBreakPreview">
      <pane xSplit="2" ySplit="10" topLeftCell="C20" activePane="bottomRight" state="frozen"/>
      <selection pane="bottomRight" activeCell="J14" sqref="J14"/>
      <pageMargins left="0.39370078740157483" right="0.31496062992125984" top="0.23" bottom="0.15748031496062992" header="0" footer="0"/>
      <pageSetup paperSize="9" scale="68" orientation="portrait" useFirstPageNumber="1" verticalDpi="300" r:id="rId2"/>
      <headerFooter alignWithMargins="0"/>
    </customSheetView>
    <customSheetView guid="{BF9F446D-D2F9-4EAA-BD71-B531E336462E}" scale="85" showPageBreaks="1" fitToPage="1" printArea="1" hiddenRows="1" hiddenColumns="1" view="pageBreakPreview">
      <pane xSplit="2" ySplit="10" topLeftCell="D11" activePane="bottomRight" state="frozen"/>
      <selection pane="bottomRight" activeCell="F12" sqref="F12"/>
      <pageMargins left="0.2" right="0.18" top="0.23" bottom="0.15748031496062992" header="0" footer="0"/>
      <pageSetup paperSize="9" scale="78" orientation="portrait" useFirstPageNumber="1" verticalDpi="300" r:id="rId3"/>
      <headerFooter alignWithMargins="0"/>
    </customSheetView>
  </customSheetViews>
  <mergeCells count="26">
    <mergeCell ref="A1:P1"/>
    <mergeCell ref="A2:P2"/>
    <mergeCell ref="S4:X4"/>
    <mergeCell ref="Y4:AC4"/>
    <mergeCell ref="AB5:AC5"/>
    <mergeCell ref="AN13:AN14"/>
    <mergeCell ref="AK13:AK14"/>
    <mergeCell ref="O5:P5"/>
    <mergeCell ref="AJ13:AJ14"/>
    <mergeCell ref="AM13:AM14"/>
    <mergeCell ref="AL13:AL14"/>
    <mergeCell ref="U5:V5"/>
    <mergeCell ref="E5:F5"/>
    <mergeCell ref="B5:B6"/>
    <mergeCell ref="AI13:AI14"/>
    <mergeCell ref="AH13:AH14"/>
    <mergeCell ref="Q5:R5"/>
    <mergeCell ref="W5:X5"/>
    <mergeCell ref="O80:P80"/>
    <mergeCell ref="B3:P3"/>
    <mergeCell ref="I5:J5"/>
    <mergeCell ref="A5:A6"/>
    <mergeCell ref="K5:L5"/>
    <mergeCell ref="C4:F4"/>
    <mergeCell ref="G4:L4"/>
    <mergeCell ref="M4:R4"/>
  </mergeCells>
  <pageMargins left="0.94488188976377963" right="0.15748031496062992" top="0.39370078740157483" bottom="0.19685039370078741" header="0" footer="0"/>
  <pageSetup paperSize="9" scale="60" orientation="portrait" useFirstPageNumber="1" verticalDpi="3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DI78"/>
  <sheetViews>
    <sheetView zoomScale="70" zoomScaleNormal="70" zoomScaleSheetLayoutView="70" workbookViewId="0">
      <pane xSplit="3" ySplit="7" topLeftCell="D18" activePane="bottomRight" state="frozen"/>
      <selection pane="topRight" activeCell="D1" sqref="D1"/>
      <selection pane="bottomLeft" activeCell="A8" sqref="A8"/>
      <selection pane="bottomRight" activeCell="U31" sqref="U31"/>
    </sheetView>
  </sheetViews>
  <sheetFormatPr defaultColWidth="11.5703125" defaultRowHeight="12.75"/>
  <cols>
    <col min="1" max="1" width="10.5703125" style="1" customWidth="1"/>
    <col min="2" max="2" width="60.140625" style="1" customWidth="1"/>
    <col min="3" max="3" width="2" style="1" hidden="1" customWidth="1"/>
    <col min="4" max="4" width="10.7109375" style="1" customWidth="1"/>
    <col min="5" max="5" width="8.7109375" style="1" customWidth="1"/>
    <col min="6" max="6" width="10.7109375" style="1" customWidth="1"/>
    <col min="7" max="7" width="9.5703125" style="1" customWidth="1"/>
    <col min="8" max="8" width="10.85546875" style="1" customWidth="1"/>
    <col min="9" max="9" width="10.42578125" style="1" customWidth="1"/>
    <col min="10" max="10" width="8.85546875" style="213" customWidth="1"/>
    <col min="11" max="11" width="12.7109375" style="213" customWidth="1"/>
    <col min="12" max="12" width="10.28515625" style="213" customWidth="1"/>
    <col min="13" max="13" width="11.85546875" style="1" customWidth="1"/>
    <col min="14" max="14" width="10" style="1" customWidth="1"/>
    <col min="15" max="15" width="8.85546875" style="1" customWidth="1"/>
    <col min="16" max="16" width="12.28515625" style="1" customWidth="1"/>
    <col min="17" max="17" width="11.140625" style="1" customWidth="1"/>
    <col min="18" max="18" width="10.140625" style="1" customWidth="1"/>
    <col min="19" max="20" width="9" style="1" customWidth="1"/>
    <col min="21" max="21" width="10.85546875" style="1" customWidth="1"/>
    <col min="22" max="22" width="10.5703125" style="1" customWidth="1"/>
    <col min="23" max="23" width="7.85546875" style="1" customWidth="1"/>
    <col min="24" max="24" width="10.140625" style="1" hidden="1" customWidth="1"/>
    <col min="25" max="32" width="11.5703125" style="1" hidden="1" customWidth="1"/>
    <col min="33" max="33" width="23.7109375" style="1" customWidth="1"/>
    <col min="34" max="34" width="17.7109375" style="1" customWidth="1"/>
    <col min="35" max="35" width="17.140625" style="1" customWidth="1"/>
    <col min="36" max="36" width="16.7109375" style="1" customWidth="1"/>
    <col min="37" max="37" width="15.5703125" style="1" customWidth="1"/>
    <col min="38" max="38" width="16.85546875" style="1" customWidth="1"/>
    <col min="39" max="39" width="16.5703125" style="1" customWidth="1"/>
    <col min="40" max="40" width="17.7109375" style="1" customWidth="1"/>
    <col min="41" max="41" width="16.28515625" style="1" customWidth="1"/>
    <col min="42" max="42" width="11.5703125" style="1"/>
    <col min="43" max="43" width="18.5703125" style="1" customWidth="1"/>
    <col min="44" max="44" width="11.5703125" style="1"/>
    <col min="45" max="45" width="14.85546875" style="1" customWidth="1"/>
    <col min="46" max="16384" width="11.5703125" style="1"/>
  </cols>
  <sheetData>
    <row r="1" spans="1:113" ht="6.75" customHeight="1">
      <c r="A1" s="7"/>
      <c r="B1" s="2"/>
      <c r="C1" s="2"/>
      <c r="D1" s="2"/>
      <c r="E1" s="2"/>
      <c r="F1" s="2"/>
      <c r="G1" s="2"/>
      <c r="H1" s="2"/>
      <c r="I1" s="2"/>
      <c r="J1" s="60"/>
      <c r="K1" s="60"/>
      <c r="L1" s="60"/>
      <c r="M1" s="2"/>
      <c r="N1" s="60"/>
      <c r="O1" s="60"/>
      <c r="P1" s="60"/>
      <c r="Q1" s="60"/>
      <c r="R1" s="60"/>
      <c r="T1" s="60"/>
      <c r="U1" s="60"/>
      <c r="V1" s="60"/>
      <c r="W1" s="60"/>
      <c r="X1" s="60"/>
    </row>
    <row r="2" spans="1:113" ht="53.25" customHeight="1">
      <c r="A2" s="1074" t="s">
        <v>273</v>
      </c>
      <c r="B2" s="1074"/>
      <c r="C2" s="1074"/>
      <c r="D2" s="1074"/>
      <c r="E2" s="1074"/>
      <c r="F2" s="1074"/>
      <c r="G2" s="1074"/>
      <c r="H2" s="1074"/>
      <c r="I2" s="1074"/>
      <c r="J2" s="1074"/>
      <c r="K2" s="1074"/>
      <c r="L2" s="1074"/>
      <c r="M2" s="1074"/>
      <c r="N2" s="1074"/>
      <c r="O2" s="1074"/>
      <c r="P2" s="1074"/>
      <c r="Q2" s="1074"/>
      <c r="R2" s="1074"/>
      <c r="S2" s="1074"/>
      <c r="T2" s="1074"/>
      <c r="U2" s="1074"/>
      <c r="V2" s="1074"/>
      <c r="W2" s="398"/>
      <c r="X2" s="398"/>
      <c r="AI2" s="450" t="s">
        <v>381</v>
      </c>
    </row>
    <row r="3" spans="1:113" ht="15.75" customHeight="1">
      <c r="A3" s="4"/>
      <c r="B3" s="1076"/>
      <c r="C3" s="1076"/>
      <c r="D3" s="1076"/>
      <c r="E3" s="1076"/>
      <c r="F3" s="1076"/>
      <c r="G3" s="1076"/>
      <c r="H3" s="1076"/>
      <c r="I3" s="1076"/>
      <c r="J3" s="1076"/>
      <c r="K3" s="1076"/>
      <c r="L3" s="1076"/>
      <c r="M3" s="1076"/>
      <c r="N3" s="1076"/>
      <c r="O3" s="158"/>
      <c r="P3" s="158"/>
      <c r="Q3" s="158"/>
      <c r="R3" s="1077"/>
      <c r="S3" s="1077"/>
      <c r="T3" s="158"/>
      <c r="U3" s="1077" t="s">
        <v>24</v>
      </c>
      <c r="V3" s="1077"/>
      <c r="W3" s="399"/>
      <c r="X3" s="399"/>
      <c r="AM3" s="446" t="s">
        <v>311</v>
      </c>
    </row>
    <row r="4" spans="1:113" ht="33" customHeight="1">
      <c r="A4" s="1061" t="s">
        <v>171</v>
      </c>
      <c r="B4" s="1061" t="s">
        <v>4</v>
      </c>
      <c r="C4" s="15" t="s">
        <v>28</v>
      </c>
      <c r="D4" s="1055" t="s">
        <v>193</v>
      </c>
      <c r="E4" s="1072"/>
      <c r="F4" s="1072"/>
      <c r="G4" s="1073"/>
      <c r="H4" s="1098" t="s">
        <v>214</v>
      </c>
      <c r="I4" s="1116"/>
      <c r="J4" s="1116"/>
      <c r="K4" s="1116"/>
      <c r="L4" s="1099"/>
      <c r="M4" s="1098" t="s">
        <v>191</v>
      </c>
      <c r="N4" s="1116"/>
      <c r="O4" s="1116"/>
      <c r="P4" s="1116"/>
      <c r="Q4" s="1099"/>
      <c r="R4" s="1098" t="s">
        <v>192</v>
      </c>
      <c r="S4" s="1116"/>
      <c r="T4" s="1116"/>
      <c r="U4" s="1116"/>
      <c r="V4" s="1099"/>
      <c r="W4" s="1098"/>
      <c r="X4" s="1099"/>
      <c r="Y4" s="1096" t="s">
        <v>125</v>
      </c>
      <c r="Z4" s="1097"/>
      <c r="AA4" s="1096" t="s">
        <v>126</v>
      </c>
      <c r="AB4" s="1097"/>
      <c r="AC4" s="1096" t="s">
        <v>127</v>
      </c>
      <c r="AD4" s="1097"/>
      <c r="AE4" s="1096" t="s">
        <v>128</v>
      </c>
      <c r="AF4" s="1097"/>
      <c r="AG4" s="1095" t="s">
        <v>222</v>
      </c>
      <c r="AH4" s="1101" t="s">
        <v>314</v>
      </c>
      <c r="AI4" s="1093" t="s">
        <v>126</v>
      </c>
      <c r="AJ4" s="1094"/>
      <c r="AK4" s="1095" t="s">
        <v>223</v>
      </c>
      <c r="AL4" s="1095"/>
      <c r="AM4" s="1095" t="s">
        <v>162</v>
      </c>
      <c r="AN4" s="1095"/>
      <c r="AO4" s="1095" t="s">
        <v>312</v>
      </c>
      <c r="AP4" s="1095"/>
      <c r="AQ4" s="1086" t="s">
        <v>382</v>
      </c>
      <c r="AR4" s="1087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</row>
    <row r="5" spans="1:113" ht="98.25" customHeight="1">
      <c r="A5" s="1061"/>
      <c r="B5" s="1061"/>
      <c r="C5" s="208"/>
      <c r="D5" s="1098" t="s">
        <v>258</v>
      </c>
      <c r="E5" s="1099"/>
      <c r="F5" s="1061" t="s">
        <v>189</v>
      </c>
      <c r="G5" s="1061"/>
      <c r="H5" s="1098" t="s">
        <v>256</v>
      </c>
      <c r="I5" s="1099"/>
      <c r="J5" s="225" t="s">
        <v>194</v>
      </c>
      <c r="K5" s="1115" t="str">
        <f>'Додаток1 скор'!K5:L5</f>
        <v>Скориговані показники (на ТЕ згідно Постанови  №929 від 09.06.2016р.) з 01.07.2016р.</v>
      </c>
      <c r="L5" s="1115"/>
      <c r="M5" s="1098" t="s">
        <v>257</v>
      </c>
      <c r="N5" s="1099"/>
      <c r="O5" s="225" t="s">
        <v>194</v>
      </c>
      <c r="P5" s="1115" t="e">
        <f>'Додаток1 скор'!P5:Q5</f>
        <v>#REF!</v>
      </c>
      <c r="Q5" s="1115"/>
      <c r="R5" s="1098" t="s">
        <v>257</v>
      </c>
      <c r="S5" s="1099"/>
      <c r="T5" s="225" t="s">
        <v>194</v>
      </c>
      <c r="U5" s="1115" t="e">
        <f>'Додаток1 скор'!U5:V5</f>
        <v>#REF!</v>
      </c>
      <c r="V5" s="1115"/>
      <c r="W5" s="397"/>
      <c r="X5" s="397"/>
      <c r="Y5" s="159"/>
      <c r="Z5" s="160"/>
      <c r="AA5" s="159"/>
      <c r="AB5" s="160"/>
      <c r="AC5" s="159"/>
      <c r="AD5" s="160"/>
      <c r="AE5" s="159"/>
      <c r="AF5" s="160"/>
      <c r="AG5" s="1095"/>
      <c r="AH5" s="1103"/>
      <c r="AI5" s="215" t="s">
        <v>224</v>
      </c>
      <c r="AJ5" s="215" t="s">
        <v>351</v>
      </c>
      <c r="AK5" s="215" t="s">
        <v>297</v>
      </c>
      <c r="AL5" s="215" t="s">
        <v>385</v>
      </c>
      <c r="AM5" s="215" t="s">
        <v>297</v>
      </c>
      <c r="AN5" s="215" t="s">
        <v>387</v>
      </c>
      <c r="AO5" s="215" t="s">
        <v>297</v>
      </c>
      <c r="AP5" s="215" t="s">
        <v>351</v>
      </c>
      <c r="AQ5" s="1086"/>
      <c r="AR5" s="1087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</row>
    <row r="6" spans="1:113" ht="30" customHeight="1">
      <c r="A6" s="1061"/>
      <c r="B6" s="1061"/>
      <c r="C6" s="208"/>
      <c r="D6" s="210" t="s">
        <v>170</v>
      </c>
      <c r="E6" s="210" t="s">
        <v>77</v>
      </c>
      <c r="F6" s="210" t="s">
        <v>170</v>
      </c>
      <c r="G6" s="303" t="s">
        <v>77</v>
      </c>
      <c r="H6" s="210" t="s">
        <v>170</v>
      </c>
      <c r="I6" s="210" t="s">
        <v>77</v>
      </c>
      <c r="J6" s="51" t="s">
        <v>190</v>
      </c>
      <c r="K6" s="51" t="s">
        <v>170</v>
      </c>
      <c r="L6" s="307" t="s">
        <v>77</v>
      </c>
      <c r="M6" s="210" t="s">
        <v>170</v>
      </c>
      <c r="N6" s="51" t="s">
        <v>77</v>
      </c>
      <c r="O6" s="51" t="s">
        <v>190</v>
      </c>
      <c r="P6" s="51" t="s">
        <v>170</v>
      </c>
      <c r="Q6" s="307" t="s">
        <v>77</v>
      </c>
      <c r="R6" s="51" t="s">
        <v>170</v>
      </c>
      <c r="S6" s="51" t="s">
        <v>77</v>
      </c>
      <c r="T6" s="51" t="s">
        <v>190</v>
      </c>
      <c r="U6" s="51" t="s">
        <v>170</v>
      </c>
      <c r="V6" s="307" t="s">
        <v>77</v>
      </c>
      <c r="W6" s="307"/>
      <c r="X6" s="307"/>
      <c r="Y6" s="51" t="s">
        <v>124</v>
      </c>
      <c r="Z6" s="51" t="s">
        <v>77</v>
      </c>
      <c r="AA6" s="51" t="s">
        <v>124</v>
      </c>
      <c r="AB6" s="51" t="s">
        <v>77</v>
      </c>
      <c r="AC6" s="51" t="s">
        <v>124</v>
      </c>
      <c r="AD6" s="51" t="s">
        <v>77</v>
      </c>
      <c r="AE6" s="51" t="s">
        <v>124</v>
      </c>
      <c r="AF6" s="51" t="s">
        <v>77</v>
      </c>
      <c r="AG6" s="215" t="s">
        <v>225</v>
      </c>
      <c r="AH6" s="215"/>
      <c r="AI6" s="216">
        <v>1091</v>
      </c>
      <c r="AJ6" s="404">
        <f>AJ11/AI8*1000</f>
        <v>5688.8</v>
      </c>
      <c r="AK6" s="404">
        <v>4387.3999999999996</v>
      </c>
      <c r="AL6" s="404">
        <f>AL11/AK8*1000</f>
        <v>5688.8</v>
      </c>
      <c r="AM6" s="404">
        <v>4387.3999999999996</v>
      </c>
      <c r="AN6" s="404">
        <f>AN11/1438.831*1000</f>
        <v>7842.14</v>
      </c>
      <c r="AO6" s="404"/>
      <c r="AP6" s="404">
        <v>2471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</row>
    <row r="7" spans="1:113" ht="15.75" customHeight="1">
      <c r="A7" s="53">
        <v>1</v>
      </c>
      <c r="B7" s="53">
        <v>2</v>
      </c>
      <c r="C7" s="16">
        <v>3</v>
      </c>
      <c r="D7" s="16">
        <v>3</v>
      </c>
      <c r="E7" s="16">
        <v>4</v>
      </c>
      <c r="F7" s="16">
        <v>5</v>
      </c>
      <c r="G7" s="304">
        <v>6</v>
      </c>
      <c r="H7" s="16">
        <v>7</v>
      </c>
      <c r="I7" s="16">
        <v>8</v>
      </c>
      <c r="J7" s="16">
        <v>9</v>
      </c>
      <c r="K7" s="16">
        <v>10</v>
      </c>
      <c r="L7" s="304">
        <v>11</v>
      </c>
      <c r="M7" s="16">
        <v>12</v>
      </c>
      <c r="N7" s="16">
        <v>13</v>
      </c>
      <c r="O7" s="16">
        <v>14</v>
      </c>
      <c r="P7" s="16">
        <v>15</v>
      </c>
      <c r="Q7" s="304">
        <v>16</v>
      </c>
      <c r="R7" s="16">
        <v>17</v>
      </c>
      <c r="S7" s="16">
        <v>18</v>
      </c>
      <c r="T7" s="16">
        <v>19</v>
      </c>
      <c r="U7" s="16">
        <v>20</v>
      </c>
      <c r="V7" s="304">
        <v>21</v>
      </c>
      <c r="W7" s="304"/>
      <c r="X7" s="304"/>
      <c r="Y7" s="16">
        <v>3</v>
      </c>
      <c r="Z7" s="16">
        <v>4</v>
      </c>
      <c r="AA7" s="16">
        <v>5</v>
      </c>
      <c r="AB7" s="16">
        <v>6</v>
      </c>
      <c r="AC7" s="16">
        <v>7</v>
      </c>
      <c r="AD7" s="16">
        <v>8</v>
      </c>
      <c r="AE7" s="16">
        <v>9</v>
      </c>
      <c r="AF7" s="16">
        <v>10</v>
      </c>
      <c r="AI7" s="418"/>
      <c r="AJ7" s="418"/>
      <c r="AK7" s="418"/>
      <c r="AL7" s="418"/>
      <c r="AM7" s="417"/>
      <c r="AN7" s="417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</row>
    <row r="8" spans="1:113" s="380" customFormat="1" ht="17.100000000000001" customHeight="1">
      <c r="A8" s="52">
        <v>1</v>
      </c>
      <c r="B8" s="222" t="s">
        <v>29</v>
      </c>
      <c r="C8" s="15" t="s">
        <v>30</v>
      </c>
      <c r="D8" s="297">
        <f>H8+M8+R8</f>
        <v>88999</v>
      </c>
      <c r="E8" s="296">
        <f t="shared" ref="E8:E39" si="0">D8/$D$61*1000</f>
        <v>368.54</v>
      </c>
      <c r="F8" s="297">
        <f>K8+P8+U8</f>
        <v>284387.53000000003</v>
      </c>
      <c r="G8" s="305">
        <f t="shared" ref="G8:G39" si="1">F8/$F$61*1000</f>
        <v>1177.6300000000001</v>
      </c>
      <c r="H8" s="296">
        <f>H10+H30+H32+H35</f>
        <v>58458.54</v>
      </c>
      <c r="I8" s="296">
        <f t="shared" ref="I8:I39" si="2">H8/$H$61*1000</f>
        <v>284.73</v>
      </c>
      <c r="J8" s="219">
        <f>K8/H8</f>
        <v>3.8714</v>
      </c>
      <c r="K8" s="296">
        <f>K10+K29+K32+K35</f>
        <v>226314.7</v>
      </c>
      <c r="L8" s="305">
        <f t="shared" ref="L8:L39" si="3">K8/$K$61*1000</f>
        <v>1102.31</v>
      </c>
      <c r="M8" s="296">
        <f>M10+M29+M32+M35</f>
        <v>22995.59</v>
      </c>
      <c r="N8" s="296">
        <f t="shared" ref="N8:N39" si="4">M8/$M$61*1000</f>
        <v>844.06</v>
      </c>
      <c r="O8" s="219">
        <f>P8/M8</f>
        <v>1.9015</v>
      </c>
      <c r="P8" s="296">
        <f>P10+P29+P32+P35</f>
        <v>43726.22</v>
      </c>
      <c r="Q8" s="305">
        <f>P8/$P$61*1000</f>
        <v>1604.98</v>
      </c>
      <c r="R8" s="296">
        <f>R10+R29+R32+R35</f>
        <v>7544.87</v>
      </c>
      <c r="S8" s="296">
        <f t="shared" ref="S8:S39" si="5">R8/$R$61*1000</f>
        <v>844.06</v>
      </c>
      <c r="T8" s="219">
        <f>U8/R8</f>
        <v>1.9015</v>
      </c>
      <c r="U8" s="296">
        <f>U10+U29+U32+U35</f>
        <v>14346.61</v>
      </c>
      <c r="V8" s="305">
        <f>U8/$U$61*1000</f>
        <v>1604.98</v>
      </c>
      <c r="W8" s="305"/>
      <c r="X8" s="305"/>
      <c r="Y8" s="73">
        <v>18463.34</v>
      </c>
      <c r="Z8" s="74">
        <v>301.19</v>
      </c>
      <c r="AA8" s="75">
        <v>12392.62</v>
      </c>
      <c r="AB8" s="74">
        <v>237.51</v>
      </c>
      <c r="AC8" s="75">
        <v>4813.97</v>
      </c>
      <c r="AD8" s="74">
        <v>665.37</v>
      </c>
      <c r="AE8" s="75">
        <v>1256.74</v>
      </c>
      <c r="AF8" s="74">
        <v>665.37</v>
      </c>
      <c r="AG8" s="420" t="s">
        <v>313</v>
      </c>
      <c r="AH8" s="421">
        <f>AI8+AK8+AM8</f>
        <v>38968.154000000002</v>
      </c>
      <c r="AI8" s="480">
        <v>33047.423000000003</v>
      </c>
      <c r="AJ8" s="480"/>
      <c r="AK8" s="480">
        <v>4385.3339999999998</v>
      </c>
      <c r="AL8" s="480"/>
      <c r="AM8" s="480">
        <v>1535.3969999999999</v>
      </c>
      <c r="AN8" s="584" t="s">
        <v>359</v>
      </c>
    </row>
    <row r="9" spans="1:113" s="380" customFormat="1" ht="17.100000000000001" customHeight="1">
      <c r="A9" s="313"/>
      <c r="B9" s="314" t="s">
        <v>271</v>
      </c>
      <c r="C9" s="481"/>
      <c r="D9" s="312">
        <f>D10+D30+D32</f>
        <v>88150.89</v>
      </c>
      <c r="E9" s="305">
        <f t="shared" si="0"/>
        <v>365.03</v>
      </c>
      <c r="F9" s="312">
        <f>F10+F29+F32</f>
        <v>284095.74</v>
      </c>
      <c r="G9" s="305">
        <f t="shared" si="1"/>
        <v>1176.42</v>
      </c>
      <c r="H9" s="312">
        <f>H10+H29+H32</f>
        <v>61753.17</v>
      </c>
      <c r="I9" s="305">
        <f t="shared" si="2"/>
        <v>300.77999999999997</v>
      </c>
      <c r="J9" s="316">
        <f>K9/H9</f>
        <v>3.6608000000000001</v>
      </c>
      <c r="K9" s="305">
        <f>K10+K29+K32</f>
        <v>226066.63</v>
      </c>
      <c r="L9" s="305">
        <f t="shared" si="3"/>
        <v>1101.0999999999999</v>
      </c>
      <c r="M9" s="305">
        <f>M10+M29+M32</f>
        <v>22969.35</v>
      </c>
      <c r="N9" s="305">
        <f t="shared" si="4"/>
        <v>843.09</v>
      </c>
      <c r="O9" s="316">
        <f>P9/M9</f>
        <v>1.9021999999999999</v>
      </c>
      <c r="P9" s="305">
        <f>P10+P29+P32</f>
        <v>43693.3</v>
      </c>
      <c r="Q9" s="305">
        <f>P9/$P$61*1000</f>
        <v>1603.77</v>
      </c>
      <c r="R9" s="305">
        <f>R10+R29+R32</f>
        <v>7536.26</v>
      </c>
      <c r="S9" s="305">
        <f t="shared" si="5"/>
        <v>843.09</v>
      </c>
      <c r="T9" s="316">
        <f>U9/R9</f>
        <v>1.9021999999999999</v>
      </c>
      <c r="U9" s="305">
        <f>U10+U29+U32</f>
        <v>14335.81</v>
      </c>
      <c r="V9" s="305">
        <f>U9/$U$61*1000</f>
        <v>1603.77</v>
      </c>
      <c r="W9" s="305"/>
      <c r="X9" s="305"/>
      <c r="Y9" s="73"/>
      <c r="Z9" s="74"/>
      <c r="AA9" s="75"/>
      <c r="AB9" s="74"/>
      <c r="AC9" s="75"/>
      <c r="AD9" s="74"/>
      <c r="AE9" s="75"/>
      <c r="AF9" s="74"/>
      <c r="AG9" s="422" t="s">
        <v>315</v>
      </c>
      <c r="AH9" s="421">
        <f>AI9+AK9+AM9</f>
        <v>241.49199999999999</v>
      </c>
      <c r="AI9" s="482">
        <v>205.309</v>
      </c>
      <c r="AJ9" s="482"/>
      <c r="AK9" s="482">
        <v>27.244</v>
      </c>
      <c r="AL9" s="482"/>
      <c r="AM9" s="482">
        <v>8.9390000000000001</v>
      </c>
      <c r="AN9" s="483"/>
    </row>
    <row r="10" spans="1:113" s="380" customFormat="1" ht="17.100000000000001" customHeight="1">
      <c r="A10" s="52" t="s">
        <v>31</v>
      </c>
      <c r="B10" s="222" t="s">
        <v>32</v>
      </c>
      <c r="C10" s="15" t="s">
        <v>30</v>
      </c>
      <c r="D10" s="297">
        <f t="shared" ref="D10:D59" si="6">H10+M10+R10</f>
        <v>75669.119999999995</v>
      </c>
      <c r="E10" s="296">
        <f t="shared" si="0"/>
        <v>313.33999999999997</v>
      </c>
      <c r="F10" s="297">
        <f t="shared" ref="F10:F59" si="7">K10+P10+U10</f>
        <v>263123.96999999997</v>
      </c>
      <c r="G10" s="305">
        <f t="shared" si="1"/>
        <v>1089.58</v>
      </c>
      <c r="H10" s="296">
        <f>H11+H18+H21+H24+H27+H28</f>
        <v>47649.15</v>
      </c>
      <c r="I10" s="296">
        <f t="shared" si="2"/>
        <v>232.09</v>
      </c>
      <c r="J10" s="219">
        <f>K10/H10</f>
        <v>4.3701999999999996</v>
      </c>
      <c r="K10" s="296">
        <f>K11+K18+K21+K24+K27+K28</f>
        <v>208237.08</v>
      </c>
      <c r="L10" s="305">
        <f t="shared" si="3"/>
        <v>1014.26</v>
      </c>
      <c r="M10" s="296">
        <f>M11+M18+M21+M24+M27+M28</f>
        <v>21097.77</v>
      </c>
      <c r="N10" s="296">
        <f t="shared" si="4"/>
        <v>774.4</v>
      </c>
      <c r="O10" s="219">
        <f>P10/M10</f>
        <v>1.9588000000000001</v>
      </c>
      <c r="P10" s="296">
        <f>P11+P18+P21+P24+P27+P28</f>
        <v>41327.35</v>
      </c>
      <c r="Q10" s="305">
        <f>P10/$P$61*1000-0.01</f>
        <v>1516.92</v>
      </c>
      <c r="R10" s="296">
        <f>R11+R18+R21+R24+R27+R28</f>
        <v>6922.2</v>
      </c>
      <c r="S10" s="296">
        <f t="shared" si="5"/>
        <v>774.4</v>
      </c>
      <c r="T10" s="219">
        <f>U10/R10</f>
        <v>1.9588000000000001</v>
      </c>
      <c r="U10" s="296">
        <f>U11+U18+U21+U24+U27+U28</f>
        <v>13559.54</v>
      </c>
      <c r="V10" s="305">
        <f>U10/$U$61*1000-0.01</f>
        <v>1516.92</v>
      </c>
      <c r="W10" s="305"/>
      <c r="X10" s="305"/>
      <c r="Y10" s="73">
        <v>16016.67</v>
      </c>
      <c r="Z10" s="74">
        <v>261.27999999999997</v>
      </c>
      <c r="AA10" s="75">
        <v>10310.1</v>
      </c>
      <c r="AB10" s="74">
        <v>197.59</v>
      </c>
      <c r="AC10" s="75">
        <v>4525.21</v>
      </c>
      <c r="AD10" s="74">
        <v>625.46</v>
      </c>
      <c r="AE10" s="75">
        <v>1181.3599999999999</v>
      </c>
      <c r="AF10" s="74">
        <v>625.46</v>
      </c>
      <c r="AG10" s="484"/>
      <c r="AH10" s="485"/>
      <c r="AI10" s="1118" t="s">
        <v>332</v>
      </c>
      <c r="AJ10" s="1119"/>
      <c r="AK10" s="1119"/>
      <c r="AL10" s="1119"/>
      <c r="AM10" s="1119"/>
      <c r="AN10" s="1120"/>
      <c r="AO10" s="486" t="s">
        <v>301</v>
      </c>
      <c r="AQ10" s="380" t="s">
        <v>361</v>
      </c>
    </row>
    <row r="11" spans="1:113" s="491" customFormat="1" ht="17.100000000000001" customHeight="1">
      <c r="A11" s="95" t="s">
        <v>33</v>
      </c>
      <c r="B11" s="223" t="s">
        <v>185</v>
      </c>
      <c r="C11" s="51" t="s">
        <v>30</v>
      </c>
      <c r="D11" s="309">
        <f t="shared" si="6"/>
        <v>62031.360000000001</v>
      </c>
      <c r="E11" s="298">
        <f t="shared" si="0"/>
        <v>256.87</v>
      </c>
      <c r="F11" s="309">
        <f t="shared" si="7"/>
        <v>239154.76</v>
      </c>
      <c r="G11" s="306">
        <f t="shared" si="1"/>
        <v>990.32</v>
      </c>
      <c r="H11" s="298">
        <f>H12+H13</f>
        <v>36054.74</v>
      </c>
      <c r="I11" s="298">
        <f t="shared" si="2"/>
        <v>175.61</v>
      </c>
      <c r="J11" s="255">
        <f>K11/H11</f>
        <v>5.2142999999999997</v>
      </c>
      <c r="K11" s="298">
        <f>K12+K13</f>
        <v>188000.23</v>
      </c>
      <c r="L11" s="306">
        <f t="shared" si="3"/>
        <v>915.69</v>
      </c>
      <c r="M11" s="298">
        <f>M12+M13</f>
        <v>19559.22</v>
      </c>
      <c r="N11" s="298">
        <f t="shared" si="4"/>
        <v>717.92</v>
      </c>
      <c r="O11" s="255">
        <f>P11/M11</f>
        <v>1.9693000000000001</v>
      </c>
      <c r="P11" s="298">
        <f>P12+P13</f>
        <v>38517.050000000003</v>
      </c>
      <c r="Q11" s="306">
        <f t="shared" ref="Q11:Q59" si="8">P11/$P$61*1000</f>
        <v>1413.77</v>
      </c>
      <c r="R11" s="298">
        <f>R12+R13</f>
        <v>6417.4</v>
      </c>
      <c r="S11" s="298">
        <f t="shared" si="5"/>
        <v>717.92</v>
      </c>
      <c r="T11" s="255">
        <f>U11/R11</f>
        <v>1.9693000000000001</v>
      </c>
      <c r="U11" s="298">
        <f>U12+U13</f>
        <v>12637.48</v>
      </c>
      <c r="V11" s="306">
        <f t="shared" ref="V11:V59" si="9">U11/$U$61*1000</f>
        <v>1413.77</v>
      </c>
      <c r="W11" s="306"/>
      <c r="X11" s="306"/>
      <c r="Y11" s="76">
        <v>13921.04</v>
      </c>
      <c r="Z11" s="77">
        <v>227.09</v>
      </c>
      <c r="AA11" s="71">
        <v>8526.3700000000008</v>
      </c>
      <c r="AB11" s="77">
        <v>163.41</v>
      </c>
      <c r="AC11" s="71">
        <v>4277.88</v>
      </c>
      <c r="AD11" s="72">
        <v>591.28</v>
      </c>
      <c r="AE11" s="71">
        <v>1116.79</v>
      </c>
      <c r="AF11" s="72">
        <v>591.27</v>
      </c>
      <c r="AG11" s="1101" t="s">
        <v>386</v>
      </c>
      <c r="AH11" s="487">
        <f>AJ11+AL11+AN11</f>
        <v>224230.872</v>
      </c>
      <c r="AI11" s="487"/>
      <c r="AJ11" s="487">
        <v>188000.08199999999</v>
      </c>
      <c r="AK11" s="488"/>
      <c r="AL11" s="487">
        <v>24947.279999999999</v>
      </c>
      <c r="AM11" s="487"/>
      <c r="AN11" s="487">
        <v>11283.51</v>
      </c>
      <c r="AO11" s="490">
        <f>AJ11+AL11+AN11</f>
        <v>224230.872</v>
      </c>
      <c r="AP11" s="489"/>
      <c r="AQ11" s="586" t="s">
        <v>362</v>
      </c>
      <c r="AR11" s="489"/>
      <c r="AS11" s="489"/>
      <c r="AT11" s="489"/>
      <c r="AU11" s="489"/>
      <c r="AV11" s="489"/>
      <c r="AW11" s="489"/>
      <c r="AX11" s="489"/>
      <c r="AY11" s="489"/>
      <c r="AZ11" s="489"/>
      <c r="BA11" s="489"/>
      <c r="BB11" s="489"/>
      <c r="BC11" s="489"/>
      <c r="BD11" s="489"/>
      <c r="BE11" s="489"/>
      <c r="BF11" s="489"/>
      <c r="BG11" s="489"/>
      <c r="BH11" s="489"/>
      <c r="BI11" s="489"/>
      <c r="BJ11" s="489"/>
      <c r="BK11" s="489"/>
      <c r="BL11" s="489"/>
      <c r="BM11" s="489"/>
      <c r="BN11" s="489"/>
      <c r="BO11" s="489"/>
      <c r="BP11" s="489"/>
      <c r="BQ11" s="489"/>
      <c r="BR11" s="489"/>
      <c r="BS11" s="489"/>
      <c r="BT11" s="489"/>
      <c r="BU11" s="489"/>
      <c r="BV11" s="489"/>
      <c r="BW11" s="489"/>
      <c r="BX11" s="489"/>
      <c r="BY11" s="489"/>
      <c r="BZ11" s="489"/>
      <c r="CA11" s="489"/>
      <c r="CB11" s="489"/>
      <c r="CC11" s="489"/>
      <c r="CD11" s="489"/>
      <c r="CE11" s="489"/>
      <c r="CF11" s="489"/>
      <c r="CG11" s="489"/>
      <c r="CH11" s="489"/>
      <c r="CI11" s="489"/>
      <c r="CJ11" s="489"/>
      <c r="CK11" s="489"/>
      <c r="CL11" s="489"/>
      <c r="CM11" s="489"/>
      <c r="CN11" s="489"/>
      <c r="CO11" s="489"/>
      <c r="CP11" s="489"/>
      <c r="CQ11" s="489"/>
      <c r="CR11" s="489"/>
      <c r="CS11" s="489"/>
      <c r="CT11" s="489"/>
      <c r="CU11" s="489"/>
      <c r="CV11" s="489"/>
      <c r="CW11" s="489"/>
      <c r="CX11" s="489"/>
      <c r="CY11" s="489"/>
      <c r="CZ11" s="489"/>
      <c r="DA11" s="489"/>
      <c r="DB11" s="489"/>
      <c r="DC11" s="489"/>
      <c r="DD11" s="489"/>
      <c r="DE11" s="489"/>
      <c r="DF11" s="489"/>
      <c r="DG11" s="489"/>
      <c r="DH11" s="489"/>
      <c r="DI11" s="489"/>
    </row>
    <row r="12" spans="1:113" s="491" customFormat="1" ht="17.100000000000001" customHeight="1">
      <c r="A12" s="95" t="s">
        <v>186</v>
      </c>
      <c r="B12" s="223" t="s">
        <v>188</v>
      </c>
      <c r="C12" s="51"/>
      <c r="D12" s="309">
        <f t="shared" si="6"/>
        <v>62031.360000000001</v>
      </c>
      <c r="E12" s="298">
        <f t="shared" si="0"/>
        <v>256.87</v>
      </c>
      <c r="F12" s="309">
        <f t="shared" si="7"/>
        <v>239154.76</v>
      </c>
      <c r="G12" s="306">
        <f t="shared" si="1"/>
        <v>990.32</v>
      </c>
      <c r="H12" s="298">
        <v>36054.74</v>
      </c>
      <c r="I12" s="298">
        <f t="shared" si="2"/>
        <v>175.61</v>
      </c>
      <c r="J12" s="255">
        <f>AJ6/AI6</f>
        <v>5.2142999999999997</v>
      </c>
      <c r="K12" s="298">
        <f>H12*J12</f>
        <v>188000.23</v>
      </c>
      <c r="L12" s="306">
        <f t="shared" si="3"/>
        <v>915.69</v>
      </c>
      <c r="M12" s="298">
        <v>19559.22</v>
      </c>
      <c r="N12" s="298">
        <f t="shared" si="4"/>
        <v>717.92</v>
      </c>
      <c r="O12" s="255">
        <f>AL6/AK6</f>
        <v>1.2966</v>
      </c>
      <c r="P12" s="298">
        <v>38517.050000000003</v>
      </c>
      <c r="Q12" s="306">
        <f t="shared" si="8"/>
        <v>1413.77</v>
      </c>
      <c r="R12" s="298">
        <v>6417.4</v>
      </c>
      <c r="S12" s="298">
        <f t="shared" si="5"/>
        <v>717.92</v>
      </c>
      <c r="T12" s="255">
        <f>AN6/AM6</f>
        <v>1.7874000000000001</v>
      </c>
      <c r="U12" s="298">
        <v>12637.48</v>
      </c>
      <c r="V12" s="306">
        <f t="shared" si="9"/>
        <v>1413.77</v>
      </c>
      <c r="W12" s="306"/>
      <c r="X12" s="306"/>
      <c r="Y12" s="76"/>
      <c r="Z12" s="77"/>
      <c r="AA12" s="71"/>
      <c r="AB12" s="77"/>
      <c r="AC12" s="71"/>
      <c r="AD12" s="72"/>
      <c r="AE12" s="71"/>
      <c r="AF12" s="72"/>
      <c r="AG12" s="1102"/>
      <c r="AH12" s="419"/>
      <c r="AI12" s="419"/>
      <c r="AJ12" s="449" t="s">
        <v>331</v>
      </c>
      <c r="AK12" s="419"/>
      <c r="AL12" s="423"/>
      <c r="AM12" s="419"/>
      <c r="AN12" s="419"/>
      <c r="AO12" s="489"/>
      <c r="AP12" s="489"/>
      <c r="AQ12" s="587" t="s">
        <v>363</v>
      </c>
      <c r="AR12" s="489"/>
      <c r="AS12" s="489"/>
      <c r="AT12" s="489"/>
      <c r="AU12" s="489"/>
      <c r="AV12" s="489"/>
      <c r="AW12" s="489"/>
      <c r="AX12" s="489"/>
      <c r="AY12" s="489"/>
      <c r="AZ12" s="489"/>
      <c r="BA12" s="489"/>
      <c r="BB12" s="489"/>
      <c r="BC12" s="489"/>
      <c r="BD12" s="489"/>
      <c r="BE12" s="489"/>
      <c r="BF12" s="489"/>
      <c r="BG12" s="489"/>
      <c r="BH12" s="489"/>
      <c r="BI12" s="489"/>
      <c r="BJ12" s="489"/>
      <c r="BK12" s="489"/>
      <c r="BL12" s="489"/>
      <c r="BM12" s="489"/>
      <c r="BN12" s="489"/>
      <c r="BO12" s="489"/>
      <c r="BP12" s="489"/>
      <c r="BQ12" s="489"/>
      <c r="BR12" s="489"/>
      <c r="BS12" s="489"/>
      <c r="BT12" s="489"/>
      <c r="BU12" s="489"/>
      <c r="BV12" s="489"/>
      <c r="BW12" s="489"/>
      <c r="BX12" s="489"/>
      <c r="BY12" s="489"/>
      <c r="BZ12" s="489"/>
      <c r="CA12" s="489"/>
      <c r="CB12" s="489"/>
      <c r="CC12" s="489"/>
      <c r="CD12" s="489"/>
      <c r="CE12" s="489"/>
      <c r="CF12" s="489"/>
      <c r="CG12" s="489"/>
      <c r="CH12" s="489"/>
      <c r="CI12" s="489"/>
      <c r="CJ12" s="489"/>
      <c r="CK12" s="489"/>
      <c r="CL12" s="489"/>
      <c r="CM12" s="489"/>
      <c r="CN12" s="489"/>
      <c r="CO12" s="489"/>
      <c r="CP12" s="489"/>
      <c r="CQ12" s="489"/>
      <c r="CR12" s="489"/>
      <c r="CS12" s="489"/>
      <c r="CT12" s="489"/>
      <c r="CU12" s="489"/>
      <c r="CV12" s="489"/>
      <c r="CW12" s="489"/>
      <c r="CX12" s="489"/>
      <c r="CY12" s="489"/>
      <c r="CZ12" s="489"/>
      <c r="DA12" s="489"/>
      <c r="DB12" s="489"/>
      <c r="DC12" s="489"/>
      <c r="DD12" s="489"/>
      <c r="DE12" s="489"/>
      <c r="DF12" s="489"/>
      <c r="DG12" s="489"/>
      <c r="DH12" s="489"/>
      <c r="DI12" s="489"/>
    </row>
    <row r="13" spans="1:113" s="491" customFormat="1" ht="19.5" customHeight="1">
      <c r="A13" s="95" t="s">
        <v>187</v>
      </c>
      <c r="B13" s="248" t="s">
        <v>259</v>
      </c>
      <c r="C13" s="51"/>
      <c r="D13" s="309">
        <f t="shared" si="6"/>
        <v>0</v>
      </c>
      <c r="E13" s="298">
        <f t="shared" si="0"/>
        <v>0</v>
      </c>
      <c r="F13" s="309">
        <f t="shared" si="7"/>
        <v>0</v>
      </c>
      <c r="G13" s="306">
        <f t="shared" si="1"/>
        <v>0</v>
      </c>
      <c r="H13" s="298">
        <f>SUM(H14:H17)</f>
        <v>0</v>
      </c>
      <c r="I13" s="298">
        <f t="shared" si="2"/>
        <v>0</v>
      </c>
      <c r="J13" s="255">
        <f>IF(H13=0,0,K13/H13)</f>
        <v>0</v>
      </c>
      <c r="K13" s="298">
        <f>SUM(K14:K17)</f>
        <v>0</v>
      </c>
      <c r="L13" s="306">
        <f t="shared" si="3"/>
        <v>0</v>
      </c>
      <c r="M13" s="298">
        <f>SUM(M14:M17)</f>
        <v>0</v>
      </c>
      <c r="N13" s="298">
        <f t="shared" si="4"/>
        <v>0</v>
      </c>
      <c r="O13" s="255">
        <f>IF(M13=0,0,P13/M13)</f>
        <v>0</v>
      </c>
      <c r="P13" s="298">
        <f>SUM(P14:P17)</f>
        <v>0</v>
      </c>
      <c r="Q13" s="306">
        <f t="shared" si="8"/>
        <v>0</v>
      </c>
      <c r="R13" s="298">
        <f>SUM(R14:R17)</f>
        <v>0</v>
      </c>
      <c r="S13" s="298">
        <f t="shared" si="5"/>
        <v>0</v>
      </c>
      <c r="T13" s="255">
        <f>IF(R13=0,0,U13/R13)</f>
        <v>0</v>
      </c>
      <c r="U13" s="298">
        <f>SUM(U14:U17)</f>
        <v>0</v>
      </c>
      <c r="V13" s="306">
        <f t="shared" si="9"/>
        <v>0</v>
      </c>
      <c r="W13" s="306"/>
      <c r="X13" s="306"/>
      <c r="Y13" s="76"/>
      <c r="Z13" s="77"/>
      <c r="AA13" s="71"/>
      <c r="AB13" s="77"/>
      <c r="AC13" s="71"/>
      <c r="AD13" s="72"/>
      <c r="AE13" s="71"/>
      <c r="AF13" s="72"/>
      <c r="AG13" s="1103"/>
      <c r="AH13" s="475">
        <f>AJ13+AL13+AN13</f>
        <v>224988.26624999999</v>
      </c>
      <c r="AI13" s="97" t="s">
        <v>352</v>
      </c>
      <c r="AJ13" s="475">
        <f>AJ6*AI8/1000</f>
        <v>188000.17996000001</v>
      </c>
      <c r="AK13" s="475"/>
      <c r="AL13" s="475">
        <f>AL6*AK8/1000</f>
        <v>24947.288059999999</v>
      </c>
      <c r="AM13" s="475"/>
      <c r="AN13" s="475">
        <f>AN6*AM8/1000</f>
        <v>12040.79823</v>
      </c>
      <c r="AO13" s="489"/>
      <c r="AP13" s="489"/>
      <c r="AQ13" s="587" t="s">
        <v>364</v>
      </c>
      <c r="AR13" s="489"/>
      <c r="AS13" s="489"/>
      <c r="AT13" s="489"/>
      <c r="AU13" s="489"/>
      <c r="AV13" s="489"/>
      <c r="AW13" s="489"/>
      <c r="AX13" s="489"/>
      <c r="AY13" s="489"/>
      <c r="AZ13" s="489"/>
      <c r="BA13" s="489"/>
      <c r="BB13" s="489"/>
      <c r="BC13" s="489"/>
      <c r="BD13" s="489"/>
      <c r="BE13" s="489"/>
      <c r="BF13" s="489"/>
      <c r="BG13" s="489"/>
      <c r="BH13" s="489"/>
      <c r="BI13" s="489"/>
      <c r="BJ13" s="489"/>
      <c r="BK13" s="489"/>
      <c r="BL13" s="489"/>
      <c r="BM13" s="489"/>
      <c r="BN13" s="489"/>
      <c r="BO13" s="489"/>
      <c r="BP13" s="489"/>
      <c r="BQ13" s="489"/>
      <c r="BR13" s="489"/>
      <c r="BS13" s="489"/>
      <c r="BT13" s="489"/>
      <c r="BU13" s="489"/>
      <c r="BV13" s="489"/>
      <c r="BW13" s="489"/>
      <c r="BX13" s="489"/>
      <c r="BY13" s="489"/>
      <c r="BZ13" s="489"/>
      <c r="CA13" s="489"/>
      <c r="CB13" s="489"/>
      <c r="CC13" s="489"/>
      <c r="CD13" s="489"/>
      <c r="CE13" s="489"/>
      <c r="CF13" s="489"/>
      <c r="CG13" s="489"/>
      <c r="CH13" s="489"/>
      <c r="CI13" s="489"/>
      <c r="CJ13" s="489"/>
      <c r="CK13" s="489"/>
      <c r="CL13" s="489"/>
      <c r="CM13" s="489"/>
      <c r="CN13" s="489"/>
      <c r="CO13" s="489"/>
      <c r="CP13" s="489"/>
      <c r="CQ13" s="489"/>
      <c r="CR13" s="489"/>
      <c r="CS13" s="489"/>
      <c r="CT13" s="489"/>
      <c r="CU13" s="489"/>
      <c r="CV13" s="489"/>
      <c r="CW13" s="489"/>
      <c r="CX13" s="489"/>
      <c r="CY13" s="489"/>
      <c r="CZ13" s="489"/>
      <c r="DA13" s="489"/>
      <c r="DB13" s="489"/>
      <c r="DC13" s="489"/>
      <c r="DD13" s="489"/>
      <c r="DE13" s="489"/>
      <c r="DF13" s="489"/>
      <c r="DG13" s="489"/>
      <c r="DH13" s="489"/>
      <c r="DI13" s="489"/>
    </row>
    <row r="14" spans="1:113" s="491" customFormat="1" ht="17.100000000000001" hidden="1" customHeight="1">
      <c r="A14" s="95" t="s">
        <v>236</v>
      </c>
      <c r="B14" s="223" t="s">
        <v>240</v>
      </c>
      <c r="C14" s="51"/>
      <c r="D14" s="309">
        <f t="shared" si="6"/>
        <v>0</v>
      </c>
      <c r="E14" s="298">
        <f t="shared" si="0"/>
        <v>0</v>
      </c>
      <c r="F14" s="309">
        <f t="shared" si="7"/>
        <v>0</v>
      </c>
      <c r="G14" s="306">
        <f t="shared" si="1"/>
        <v>0</v>
      </c>
      <c r="H14" s="309">
        <v>0</v>
      </c>
      <c r="I14" s="298">
        <f t="shared" si="2"/>
        <v>0</v>
      </c>
      <c r="J14" s="255">
        <v>1</v>
      </c>
      <c r="K14" s="298">
        <f>H14*J14</f>
        <v>0</v>
      </c>
      <c r="L14" s="306">
        <f t="shared" si="3"/>
        <v>0</v>
      </c>
      <c r="M14" s="298">
        <v>0</v>
      </c>
      <c r="N14" s="298">
        <f t="shared" si="4"/>
        <v>0</v>
      </c>
      <c r="O14" s="255">
        <v>1</v>
      </c>
      <c r="P14" s="298">
        <f t="shared" ref="P14:P44" si="10">M14*O14</f>
        <v>0</v>
      </c>
      <c r="Q14" s="306">
        <f t="shared" si="8"/>
        <v>0</v>
      </c>
      <c r="R14" s="298">
        <v>0</v>
      </c>
      <c r="S14" s="298">
        <f t="shared" si="5"/>
        <v>0</v>
      </c>
      <c r="T14" s="255">
        <v>1</v>
      </c>
      <c r="U14" s="298">
        <f>R14*T14</f>
        <v>0</v>
      </c>
      <c r="V14" s="306">
        <f t="shared" si="9"/>
        <v>0</v>
      </c>
      <c r="W14" s="400"/>
      <c r="X14" s="400"/>
      <c r="Y14" s="161"/>
      <c r="Z14" s="77"/>
      <c r="AA14" s="71"/>
      <c r="AB14" s="77"/>
      <c r="AC14" s="71"/>
      <c r="AD14" s="72"/>
      <c r="AE14" s="71"/>
      <c r="AF14" s="72"/>
      <c r="AG14" s="492"/>
      <c r="AH14" s="492"/>
      <c r="AI14" s="492"/>
      <c r="AJ14" s="492"/>
      <c r="AK14" s="492"/>
      <c r="AL14" s="492"/>
      <c r="AM14" s="492"/>
      <c r="AN14" s="492"/>
      <c r="AO14" s="489"/>
      <c r="AP14" s="489"/>
      <c r="AQ14" s="489"/>
      <c r="AR14" s="489"/>
      <c r="AS14" s="489"/>
      <c r="AT14" s="489"/>
      <c r="AU14" s="489"/>
      <c r="AV14" s="489"/>
      <c r="AW14" s="489"/>
      <c r="AX14" s="489"/>
      <c r="AY14" s="489"/>
      <c r="AZ14" s="489"/>
      <c r="BA14" s="489"/>
      <c r="BB14" s="489"/>
      <c r="BC14" s="489"/>
      <c r="BD14" s="489"/>
      <c r="BE14" s="489"/>
      <c r="BF14" s="489"/>
      <c r="BG14" s="489"/>
      <c r="BH14" s="489"/>
      <c r="BI14" s="489"/>
      <c r="BJ14" s="489"/>
      <c r="BK14" s="489"/>
      <c r="BL14" s="489"/>
      <c r="BM14" s="489"/>
      <c r="BN14" s="489"/>
      <c r="BO14" s="489"/>
      <c r="BP14" s="489"/>
      <c r="BQ14" s="489"/>
      <c r="BR14" s="489"/>
      <c r="BS14" s="489"/>
      <c r="BT14" s="489"/>
      <c r="BU14" s="489"/>
      <c r="BV14" s="489"/>
      <c r="BW14" s="489"/>
      <c r="BX14" s="489"/>
      <c r="BY14" s="489"/>
      <c r="BZ14" s="489"/>
      <c r="CA14" s="489"/>
      <c r="CB14" s="489"/>
      <c r="CC14" s="489"/>
      <c r="CD14" s="489"/>
      <c r="CE14" s="489"/>
      <c r="CF14" s="489"/>
      <c r="CG14" s="489"/>
      <c r="CH14" s="489"/>
      <c r="CI14" s="489"/>
      <c r="CJ14" s="489"/>
      <c r="CK14" s="489"/>
      <c r="CL14" s="489"/>
      <c r="CM14" s="489"/>
      <c r="CN14" s="489"/>
      <c r="CO14" s="489"/>
      <c r="CP14" s="489"/>
      <c r="CQ14" s="489"/>
      <c r="CR14" s="489"/>
      <c r="CS14" s="489"/>
      <c r="CT14" s="489"/>
      <c r="CU14" s="489"/>
      <c r="CV14" s="489"/>
      <c r="CW14" s="489"/>
      <c r="CX14" s="489"/>
      <c r="CY14" s="489"/>
      <c r="CZ14" s="489"/>
      <c r="DA14" s="489"/>
      <c r="DB14" s="489"/>
      <c r="DC14" s="489"/>
      <c r="DD14" s="489"/>
      <c r="DE14" s="489"/>
      <c r="DF14" s="489"/>
      <c r="DG14" s="489"/>
      <c r="DH14" s="489"/>
      <c r="DI14" s="489"/>
    </row>
    <row r="15" spans="1:113" s="491" customFormat="1" ht="17.100000000000001" hidden="1" customHeight="1">
      <c r="A15" s="95" t="s">
        <v>237</v>
      </c>
      <c r="B15" s="223" t="s">
        <v>241</v>
      </c>
      <c r="C15" s="51"/>
      <c r="D15" s="309">
        <f t="shared" si="6"/>
        <v>0</v>
      </c>
      <c r="E15" s="298">
        <f t="shared" si="0"/>
        <v>0</v>
      </c>
      <c r="F15" s="309">
        <f t="shared" si="7"/>
        <v>0</v>
      </c>
      <c r="G15" s="306">
        <f t="shared" si="1"/>
        <v>0</v>
      </c>
      <c r="H15" s="309">
        <v>0</v>
      </c>
      <c r="I15" s="298">
        <f t="shared" si="2"/>
        <v>0</v>
      </c>
      <c r="J15" s="255">
        <v>1</v>
      </c>
      <c r="K15" s="298">
        <f t="shared" ref="K15:K44" si="11">H15*J15</f>
        <v>0</v>
      </c>
      <c r="L15" s="306">
        <f t="shared" si="3"/>
        <v>0</v>
      </c>
      <c r="M15" s="298">
        <v>0</v>
      </c>
      <c r="N15" s="298">
        <f t="shared" si="4"/>
        <v>0</v>
      </c>
      <c r="O15" s="255">
        <v>1</v>
      </c>
      <c r="P15" s="298">
        <f t="shared" si="10"/>
        <v>0</v>
      </c>
      <c r="Q15" s="306">
        <f t="shared" si="8"/>
        <v>0</v>
      </c>
      <c r="R15" s="298">
        <v>0</v>
      </c>
      <c r="S15" s="298">
        <f t="shared" si="5"/>
        <v>0</v>
      </c>
      <c r="T15" s="255">
        <v>1</v>
      </c>
      <c r="U15" s="298">
        <f>R15*T15</f>
        <v>0</v>
      </c>
      <c r="V15" s="306">
        <f t="shared" si="9"/>
        <v>0</v>
      </c>
      <c r="W15" s="400"/>
      <c r="X15" s="400"/>
      <c r="Y15" s="161"/>
      <c r="Z15" s="77"/>
      <c r="AA15" s="71"/>
      <c r="AB15" s="77"/>
      <c r="AC15" s="71"/>
      <c r="AD15" s="72"/>
      <c r="AE15" s="71"/>
      <c r="AF15" s="72"/>
      <c r="AG15" s="493"/>
      <c r="AH15" s="493"/>
      <c r="AI15" s="493"/>
      <c r="AJ15" s="493"/>
      <c r="AK15" s="493"/>
      <c r="AL15" s="493"/>
      <c r="AM15" s="493"/>
      <c r="AN15" s="493"/>
      <c r="AO15" s="489"/>
      <c r="AP15" s="489"/>
      <c r="AQ15" s="489"/>
      <c r="AR15" s="489"/>
      <c r="AS15" s="489"/>
      <c r="AT15" s="489"/>
      <c r="AU15" s="489"/>
      <c r="AV15" s="489"/>
      <c r="AW15" s="489"/>
      <c r="AX15" s="489"/>
      <c r="AY15" s="489"/>
      <c r="AZ15" s="489"/>
      <c r="BA15" s="489"/>
      <c r="BB15" s="489"/>
      <c r="BC15" s="489"/>
      <c r="BD15" s="489"/>
      <c r="BE15" s="489"/>
      <c r="BF15" s="489"/>
      <c r="BG15" s="489"/>
      <c r="BH15" s="489"/>
      <c r="BI15" s="489"/>
      <c r="BJ15" s="489"/>
      <c r="BK15" s="489"/>
      <c r="BL15" s="489"/>
      <c r="BM15" s="489"/>
      <c r="BN15" s="489"/>
      <c r="BO15" s="489"/>
      <c r="BP15" s="489"/>
      <c r="BQ15" s="489"/>
      <c r="BR15" s="489"/>
      <c r="BS15" s="489"/>
      <c r="BT15" s="489"/>
      <c r="BU15" s="489"/>
      <c r="BV15" s="489"/>
      <c r="BW15" s="489"/>
      <c r="BX15" s="489"/>
      <c r="BY15" s="489"/>
      <c r="BZ15" s="489"/>
      <c r="CA15" s="489"/>
      <c r="CB15" s="489"/>
      <c r="CC15" s="489"/>
      <c r="CD15" s="489"/>
      <c r="CE15" s="489"/>
      <c r="CF15" s="489"/>
      <c r="CG15" s="489"/>
      <c r="CH15" s="489"/>
      <c r="CI15" s="489"/>
      <c r="CJ15" s="489"/>
      <c r="CK15" s="489"/>
      <c r="CL15" s="489"/>
      <c r="CM15" s="489"/>
      <c r="CN15" s="489"/>
      <c r="CO15" s="489"/>
      <c r="CP15" s="489"/>
      <c r="CQ15" s="489"/>
      <c r="CR15" s="489"/>
      <c r="CS15" s="489"/>
      <c r="CT15" s="489"/>
      <c r="CU15" s="489"/>
      <c r="CV15" s="489"/>
      <c r="CW15" s="489"/>
      <c r="CX15" s="489"/>
      <c r="CY15" s="489"/>
      <c r="CZ15" s="489"/>
      <c r="DA15" s="489"/>
      <c r="DB15" s="489"/>
      <c r="DC15" s="489"/>
      <c r="DD15" s="489"/>
      <c r="DE15" s="489"/>
      <c r="DF15" s="489"/>
      <c r="DG15" s="489"/>
      <c r="DH15" s="489"/>
      <c r="DI15" s="489"/>
    </row>
    <row r="16" spans="1:113" s="491" customFormat="1" ht="17.100000000000001" hidden="1" customHeight="1">
      <c r="A16" s="95" t="s">
        <v>238</v>
      </c>
      <c r="B16" s="223" t="s">
        <v>243</v>
      </c>
      <c r="C16" s="51"/>
      <c r="D16" s="309">
        <f t="shared" si="6"/>
        <v>0</v>
      </c>
      <c r="E16" s="298">
        <f t="shared" si="0"/>
        <v>0</v>
      </c>
      <c r="F16" s="309">
        <f t="shared" si="7"/>
        <v>0</v>
      </c>
      <c r="G16" s="306">
        <f t="shared" si="1"/>
        <v>0</v>
      </c>
      <c r="H16" s="309">
        <v>0</v>
      </c>
      <c r="I16" s="298">
        <f t="shared" si="2"/>
        <v>0</v>
      </c>
      <c r="J16" s="255">
        <v>1</v>
      </c>
      <c r="K16" s="298">
        <f t="shared" si="11"/>
        <v>0</v>
      </c>
      <c r="L16" s="306">
        <f t="shared" si="3"/>
        <v>0</v>
      </c>
      <c r="M16" s="298">
        <v>0</v>
      </c>
      <c r="N16" s="298">
        <f t="shared" si="4"/>
        <v>0</v>
      </c>
      <c r="O16" s="255">
        <v>1</v>
      </c>
      <c r="P16" s="298">
        <f t="shared" si="10"/>
        <v>0</v>
      </c>
      <c r="Q16" s="306">
        <f t="shared" si="8"/>
        <v>0</v>
      </c>
      <c r="R16" s="298">
        <v>0</v>
      </c>
      <c r="S16" s="298">
        <f t="shared" si="5"/>
        <v>0</v>
      </c>
      <c r="T16" s="255">
        <v>1</v>
      </c>
      <c r="U16" s="298">
        <f>R16*T16</f>
        <v>0</v>
      </c>
      <c r="V16" s="306">
        <f t="shared" si="9"/>
        <v>0</v>
      </c>
      <c r="W16" s="400"/>
      <c r="X16" s="400"/>
      <c r="Y16" s="161"/>
      <c r="Z16" s="77"/>
      <c r="AA16" s="71"/>
      <c r="AB16" s="77"/>
      <c r="AC16" s="71"/>
      <c r="AD16" s="72"/>
      <c r="AE16" s="71"/>
      <c r="AF16" s="72"/>
      <c r="AG16" s="494"/>
      <c r="AH16" s="494"/>
      <c r="AI16" s="492"/>
      <c r="AJ16" s="492"/>
      <c r="AK16" s="492"/>
      <c r="AL16" s="492"/>
      <c r="AM16" s="492"/>
      <c r="AN16" s="492"/>
      <c r="AO16" s="489"/>
      <c r="AP16" s="489"/>
      <c r="AQ16" s="489"/>
      <c r="AR16" s="489"/>
      <c r="AS16" s="489"/>
      <c r="AT16" s="489"/>
      <c r="AU16" s="489"/>
      <c r="AV16" s="489"/>
      <c r="AW16" s="489"/>
      <c r="AX16" s="489"/>
      <c r="AY16" s="489"/>
      <c r="AZ16" s="489"/>
      <c r="BA16" s="489"/>
      <c r="BB16" s="489"/>
      <c r="BC16" s="489"/>
      <c r="BD16" s="489"/>
      <c r="BE16" s="489"/>
      <c r="BF16" s="489"/>
      <c r="BG16" s="489"/>
      <c r="BH16" s="489"/>
      <c r="BI16" s="489"/>
      <c r="BJ16" s="489"/>
      <c r="BK16" s="489"/>
      <c r="BL16" s="489"/>
      <c r="BM16" s="489"/>
      <c r="BN16" s="489"/>
      <c r="BO16" s="489"/>
      <c r="BP16" s="489"/>
      <c r="BQ16" s="489"/>
      <c r="BR16" s="489"/>
      <c r="BS16" s="489"/>
      <c r="BT16" s="489"/>
      <c r="BU16" s="489"/>
      <c r="BV16" s="489"/>
      <c r="BW16" s="489"/>
      <c r="BX16" s="489"/>
      <c r="BY16" s="489"/>
      <c r="BZ16" s="489"/>
      <c r="CA16" s="489"/>
      <c r="CB16" s="489"/>
      <c r="CC16" s="489"/>
      <c r="CD16" s="489"/>
      <c r="CE16" s="489"/>
      <c r="CF16" s="489"/>
      <c r="CG16" s="489"/>
      <c r="CH16" s="489"/>
      <c r="CI16" s="489"/>
      <c r="CJ16" s="489"/>
      <c r="CK16" s="489"/>
      <c r="CL16" s="489"/>
      <c r="CM16" s="489"/>
      <c r="CN16" s="489"/>
      <c r="CO16" s="489"/>
      <c r="CP16" s="489"/>
      <c r="CQ16" s="489"/>
      <c r="CR16" s="489"/>
      <c r="CS16" s="489"/>
      <c r="CT16" s="489"/>
      <c r="CU16" s="489"/>
      <c r="CV16" s="489"/>
      <c r="CW16" s="489"/>
      <c r="CX16" s="489"/>
      <c r="CY16" s="489"/>
      <c r="CZ16" s="489"/>
      <c r="DA16" s="489"/>
      <c r="DB16" s="489"/>
      <c r="DC16" s="489"/>
      <c r="DD16" s="489"/>
      <c r="DE16" s="489"/>
      <c r="DF16" s="489"/>
      <c r="DG16" s="489"/>
      <c r="DH16" s="489"/>
      <c r="DI16" s="489"/>
    </row>
    <row r="17" spans="1:113" s="491" customFormat="1" ht="17.100000000000001" hidden="1" customHeight="1">
      <c r="A17" s="95" t="s">
        <v>239</v>
      </c>
      <c r="B17" s="223" t="s">
        <v>242</v>
      </c>
      <c r="C17" s="51"/>
      <c r="D17" s="309">
        <f t="shared" si="6"/>
        <v>0</v>
      </c>
      <c r="E17" s="298">
        <f t="shared" si="0"/>
        <v>0</v>
      </c>
      <c r="F17" s="309">
        <f t="shared" si="7"/>
        <v>0</v>
      </c>
      <c r="G17" s="306">
        <f t="shared" si="1"/>
        <v>0</v>
      </c>
      <c r="H17" s="309">
        <v>0</v>
      </c>
      <c r="I17" s="298">
        <f t="shared" si="2"/>
        <v>0</v>
      </c>
      <c r="J17" s="255">
        <v>1</v>
      </c>
      <c r="K17" s="298">
        <f t="shared" si="11"/>
        <v>0</v>
      </c>
      <c r="L17" s="306">
        <f t="shared" si="3"/>
        <v>0</v>
      </c>
      <c r="M17" s="298">
        <v>0</v>
      </c>
      <c r="N17" s="298">
        <f t="shared" si="4"/>
        <v>0</v>
      </c>
      <c r="O17" s="255">
        <v>1</v>
      </c>
      <c r="P17" s="298">
        <f t="shared" si="10"/>
        <v>0</v>
      </c>
      <c r="Q17" s="306">
        <f t="shared" si="8"/>
        <v>0</v>
      </c>
      <c r="R17" s="298">
        <v>0</v>
      </c>
      <c r="S17" s="298">
        <f t="shared" si="5"/>
        <v>0</v>
      </c>
      <c r="T17" s="255">
        <v>1</v>
      </c>
      <c r="U17" s="298">
        <f>R17*T17</f>
        <v>0</v>
      </c>
      <c r="V17" s="306">
        <f t="shared" si="9"/>
        <v>0</v>
      </c>
      <c r="W17" s="400"/>
      <c r="X17" s="400"/>
      <c r="Y17" s="161"/>
      <c r="Z17" s="77"/>
      <c r="AA17" s="71"/>
      <c r="AB17" s="77"/>
      <c r="AC17" s="71"/>
      <c r="AD17" s="72"/>
      <c r="AE17" s="71"/>
      <c r="AF17" s="72"/>
      <c r="AG17" s="495"/>
      <c r="AH17" s="495"/>
      <c r="AI17" s="493"/>
      <c r="AJ17" s="493"/>
      <c r="AK17" s="493"/>
      <c r="AL17" s="493"/>
      <c r="AM17" s="493"/>
      <c r="AN17" s="493"/>
      <c r="AO17" s="489"/>
      <c r="AP17" s="489"/>
      <c r="AQ17" s="489"/>
      <c r="AR17" s="489"/>
      <c r="AS17" s="489"/>
      <c r="AT17" s="489"/>
      <c r="AU17" s="489"/>
      <c r="AV17" s="489"/>
      <c r="AW17" s="489"/>
      <c r="AX17" s="489"/>
      <c r="AY17" s="489"/>
      <c r="AZ17" s="489"/>
      <c r="BA17" s="489"/>
      <c r="BB17" s="489"/>
      <c r="BC17" s="489"/>
      <c r="BD17" s="489"/>
      <c r="BE17" s="489"/>
      <c r="BF17" s="489"/>
      <c r="BG17" s="489"/>
      <c r="BH17" s="489"/>
      <c r="BI17" s="489"/>
      <c r="BJ17" s="489"/>
      <c r="BK17" s="489"/>
      <c r="BL17" s="489"/>
      <c r="BM17" s="489"/>
      <c r="BN17" s="489"/>
      <c r="BO17" s="489"/>
      <c r="BP17" s="489"/>
      <c r="BQ17" s="489"/>
      <c r="BR17" s="489"/>
      <c r="BS17" s="489"/>
      <c r="BT17" s="489"/>
      <c r="BU17" s="489"/>
      <c r="BV17" s="489"/>
      <c r="BW17" s="489"/>
      <c r="BX17" s="489"/>
      <c r="BY17" s="489"/>
      <c r="BZ17" s="489"/>
      <c r="CA17" s="489"/>
      <c r="CB17" s="489"/>
      <c r="CC17" s="489"/>
      <c r="CD17" s="489"/>
      <c r="CE17" s="489"/>
      <c r="CF17" s="489"/>
      <c r="CG17" s="489"/>
      <c r="CH17" s="489"/>
      <c r="CI17" s="489"/>
      <c r="CJ17" s="489"/>
      <c r="CK17" s="489"/>
      <c r="CL17" s="489"/>
      <c r="CM17" s="489"/>
      <c r="CN17" s="489"/>
      <c r="CO17" s="489"/>
      <c r="CP17" s="489"/>
      <c r="CQ17" s="489"/>
      <c r="CR17" s="489"/>
      <c r="CS17" s="489"/>
      <c r="CT17" s="489"/>
      <c r="CU17" s="489"/>
      <c r="CV17" s="489"/>
      <c r="CW17" s="489"/>
      <c r="CX17" s="489"/>
      <c r="CY17" s="489"/>
      <c r="CZ17" s="489"/>
      <c r="DA17" s="489"/>
      <c r="DB17" s="489"/>
      <c r="DC17" s="489"/>
      <c r="DD17" s="489"/>
      <c r="DE17" s="489"/>
      <c r="DF17" s="489"/>
      <c r="DG17" s="489"/>
      <c r="DH17" s="489"/>
      <c r="DI17" s="489"/>
    </row>
    <row r="18" spans="1:113" s="491" customFormat="1" ht="17.100000000000001" customHeight="1">
      <c r="A18" s="95" t="s">
        <v>34</v>
      </c>
      <c r="B18" s="223" t="s">
        <v>244</v>
      </c>
      <c r="C18" s="51" t="s">
        <v>30</v>
      </c>
      <c r="D18" s="309">
        <f t="shared" si="6"/>
        <v>11193.21</v>
      </c>
      <c r="E18" s="298">
        <f t="shared" si="0"/>
        <v>46.35</v>
      </c>
      <c r="F18" s="298">
        <f t="shared" si="7"/>
        <v>21524.66</v>
      </c>
      <c r="G18" s="306">
        <f t="shared" si="1"/>
        <v>89.13</v>
      </c>
      <c r="H18" s="298">
        <f>SUM(H19:H20)</f>
        <v>9516.1200000000008</v>
      </c>
      <c r="I18" s="298">
        <f t="shared" si="2"/>
        <v>46.35</v>
      </c>
      <c r="J18" s="255">
        <f>IF(H18=0,0,K18/H18)</f>
        <v>1.9081999999999999</v>
      </c>
      <c r="K18" s="298">
        <f>SUM(K19:K20)</f>
        <v>18158.560000000001</v>
      </c>
      <c r="L18" s="306">
        <f t="shared" si="3"/>
        <v>88.45</v>
      </c>
      <c r="M18" s="298">
        <f>SUM(M19:M20)</f>
        <v>1262.77</v>
      </c>
      <c r="N18" s="298">
        <f t="shared" si="4"/>
        <v>46.35</v>
      </c>
      <c r="O18" s="255">
        <f>IF(M18=0,0,P18/M18)</f>
        <v>2.0070999999999999</v>
      </c>
      <c r="P18" s="298">
        <f>SUM(P19:P20)</f>
        <v>2534.52</v>
      </c>
      <c r="Q18" s="306">
        <f t="shared" si="8"/>
        <v>93.03</v>
      </c>
      <c r="R18" s="298">
        <f>SUM(R19:R20)</f>
        <v>414.32</v>
      </c>
      <c r="S18" s="298">
        <f t="shared" si="5"/>
        <v>46.35</v>
      </c>
      <c r="T18" s="255">
        <f>IF(R18=0,0,U18/R18)</f>
        <v>2.0070999999999999</v>
      </c>
      <c r="U18" s="298">
        <f>SUM(U19:U20)</f>
        <v>831.58</v>
      </c>
      <c r="V18" s="306">
        <f t="shared" si="9"/>
        <v>93.03</v>
      </c>
      <c r="W18" s="400"/>
      <c r="X18" s="400"/>
      <c r="Y18" s="161">
        <v>1850</v>
      </c>
      <c r="Z18" s="77">
        <v>30.18</v>
      </c>
      <c r="AA18" s="71">
        <v>1574.65</v>
      </c>
      <c r="AB18" s="77">
        <v>30.18</v>
      </c>
      <c r="AC18" s="71">
        <v>218.34</v>
      </c>
      <c r="AD18" s="72">
        <v>30.18</v>
      </c>
      <c r="AE18" s="71">
        <v>57</v>
      </c>
      <c r="AF18" s="72">
        <v>30.18</v>
      </c>
      <c r="AG18" s="496"/>
      <c r="AH18" s="496"/>
      <c r="AI18" s="492"/>
      <c r="AJ18" s="492"/>
      <c r="AK18" s="492"/>
      <c r="AL18" s="492"/>
      <c r="AM18" s="492"/>
      <c r="AN18" s="492"/>
      <c r="AO18" s="489"/>
      <c r="AP18" s="489"/>
      <c r="AQ18" s="586" t="s">
        <v>365</v>
      </c>
      <c r="AR18" s="489"/>
      <c r="AS18" s="489"/>
      <c r="AT18" s="489"/>
      <c r="AU18" s="489"/>
      <c r="AV18" s="489"/>
      <c r="AW18" s="489"/>
      <c r="AX18" s="489"/>
      <c r="AY18" s="489"/>
      <c r="AZ18" s="489"/>
      <c r="BA18" s="489"/>
      <c r="BB18" s="489"/>
      <c r="BC18" s="489"/>
      <c r="BD18" s="489"/>
      <c r="BE18" s="489"/>
      <c r="BF18" s="489"/>
      <c r="BG18" s="489"/>
      <c r="BH18" s="489"/>
      <c r="BI18" s="489"/>
      <c r="BJ18" s="489"/>
      <c r="BK18" s="489"/>
      <c r="BL18" s="489"/>
      <c r="BM18" s="489"/>
      <c r="BN18" s="489"/>
      <c r="BO18" s="489"/>
      <c r="BP18" s="489"/>
      <c r="BQ18" s="489"/>
      <c r="BR18" s="489"/>
      <c r="BS18" s="489"/>
      <c r="BT18" s="489"/>
      <c r="BU18" s="489"/>
      <c r="BV18" s="489"/>
      <c r="BW18" s="489"/>
      <c r="BX18" s="489"/>
      <c r="BY18" s="489"/>
      <c r="BZ18" s="489"/>
      <c r="CA18" s="489"/>
      <c r="CB18" s="489"/>
      <c r="CC18" s="489"/>
      <c r="CD18" s="489"/>
      <c r="CE18" s="489"/>
      <c r="CF18" s="489"/>
      <c r="CG18" s="489"/>
      <c r="CH18" s="489"/>
      <c r="CI18" s="489"/>
      <c r="CJ18" s="489"/>
      <c r="CK18" s="489"/>
      <c r="CL18" s="489"/>
      <c r="CM18" s="489"/>
      <c r="CN18" s="489"/>
      <c r="CO18" s="489"/>
      <c r="CP18" s="489"/>
      <c r="CQ18" s="489"/>
      <c r="CR18" s="489"/>
      <c r="CS18" s="489"/>
      <c r="CT18" s="489"/>
      <c r="CU18" s="489"/>
      <c r="CV18" s="489"/>
      <c r="CW18" s="489"/>
      <c r="CX18" s="489"/>
      <c r="CY18" s="489"/>
      <c r="CZ18" s="489"/>
      <c r="DA18" s="489"/>
      <c r="DB18" s="489"/>
      <c r="DC18" s="489"/>
      <c r="DD18" s="489"/>
      <c r="DE18" s="489"/>
      <c r="DF18" s="489"/>
      <c r="DG18" s="489"/>
      <c r="DH18" s="489"/>
      <c r="DI18" s="489"/>
    </row>
    <row r="19" spans="1:113" s="491" customFormat="1" ht="17.100000000000001" customHeight="1">
      <c r="A19" s="95" t="s">
        <v>245</v>
      </c>
      <c r="B19" s="248" t="s">
        <v>260</v>
      </c>
      <c r="C19" s="51"/>
      <c r="D19" s="309">
        <f>H19+M19+R19</f>
        <v>1092.22</v>
      </c>
      <c r="E19" s="298">
        <f t="shared" si="0"/>
        <v>4.5199999999999996</v>
      </c>
      <c r="F19" s="309">
        <f>K19+P19+U19</f>
        <v>2100.2800000000002</v>
      </c>
      <c r="G19" s="306">
        <f t="shared" si="1"/>
        <v>8.6999999999999993</v>
      </c>
      <c r="H19" s="298">
        <v>928.57</v>
      </c>
      <c r="I19" s="298">
        <f t="shared" si="2"/>
        <v>4.5199999999999996</v>
      </c>
      <c r="J19" s="255">
        <f>J65</f>
        <v>1.9080999999999999</v>
      </c>
      <c r="K19" s="298">
        <f t="shared" si="11"/>
        <v>1771.8</v>
      </c>
      <c r="L19" s="306">
        <f t="shared" si="3"/>
        <v>8.6300000000000008</v>
      </c>
      <c r="M19" s="298">
        <v>123.22</v>
      </c>
      <c r="N19" s="298">
        <f t="shared" si="4"/>
        <v>4.5199999999999996</v>
      </c>
      <c r="O19" s="255">
        <f>O65</f>
        <v>2.0072000000000001</v>
      </c>
      <c r="P19" s="298">
        <f t="shared" si="10"/>
        <v>247.33</v>
      </c>
      <c r="Q19" s="306">
        <f t="shared" si="8"/>
        <v>9.08</v>
      </c>
      <c r="R19" s="298">
        <v>40.43</v>
      </c>
      <c r="S19" s="298">
        <f t="shared" si="5"/>
        <v>4.5199999999999996</v>
      </c>
      <c r="T19" s="255">
        <f>T65</f>
        <v>2.0070999999999999</v>
      </c>
      <c r="U19" s="298">
        <f>R19*T19</f>
        <v>81.150000000000006</v>
      </c>
      <c r="V19" s="306">
        <f t="shared" si="9"/>
        <v>9.08</v>
      </c>
      <c r="W19" s="400"/>
      <c r="X19" s="400"/>
      <c r="Y19" s="161"/>
      <c r="Z19" s="77"/>
      <c r="AA19" s="71"/>
      <c r="AB19" s="77"/>
      <c r="AC19" s="71"/>
      <c r="AD19" s="72"/>
      <c r="AE19" s="71"/>
      <c r="AF19" s="72"/>
      <c r="AG19" s="497"/>
      <c r="AH19" s="498"/>
      <c r="AI19" s="499"/>
      <c r="AJ19" s="499"/>
      <c r="AK19" s="499"/>
      <c r="AL19" s="499"/>
      <c r="AM19" s="499"/>
      <c r="AN19" s="499"/>
      <c r="AO19" s="489"/>
      <c r="AP19" s="489"/>
      <c r="AQ19" s="489"/>
      <c r="AR19" s="489"/>
      <c r="AS19" s="489"/>
      <c r="AT19" s="489"/>
      <c r="AU19" s="489"/>
      <c r="AV19" s="489"/>
      <c r="AW19" s="489"/>
      <c r="AX19" s="489"/>
      <c r="AY19" s="489"/>
      <c r="AZ19" s="489"/>
      <c r="BA19" s="489"/>
      <c r="BB19" s="489"/>
      <c r="BC19" s="489"/>
      <c r="BD19" s="489"/>
      <c r="BE19" s="489"/>
      <c r="BF19" s="489"/>
      <c r="BG19" s="489"/>
      <c r="BH19" s="489"/>
      <c r="BI19" s="489"/>
      <c r="BJ19" s="489"/>
      <c r="BK19" s="489"/>
      <c r="BL19" s="489"/>
      <c r="BM19" s="489"/>
      <c r="BN19" s="489"/>
      <c r="BO19" s="489"/>
      <c r="BP19" s="489"/>
      <c r="BQ19" s="489"/>
      <c r="BR19" s="489"/>
      <c r="BS19" s="489"/>
      <c r="BT19" s="489"/>
      <c r="BU19" s="489"/>
      <c r="BV19" s="489"/>
      <c r="BW19" s="489"/>
      <c r="BX19" s="489"/>
      <c r="BY19" s="489"/>
      <c r="BZ19" s="489"/>
      <c r="CA19" s="489"/>
      <c r="CB19" s="489"/>
      <c r="CC19" s="489"/>
      <c r="CD19" s="489"/>
      <c r="CE19" s="489"/>
      <c r="CF19" s="489"/>
      <c r="CG19" s="489"/>
      <c r="CH19" s="489"/>
      <c r="CI19" s="489"/>
      <c r="CJ19" s="489"/>
      <c r="CK19" s="489"/>
      <c r="CL19" s="489"/>
      <c r="CM19" s="489"/>
      <c r="CN19" s="489"/>
      <c r="CO19" s="489"/>
      <c r="CP19" s="489"/>
      <c r="CQ19" s="489"/>
      <c r="CR19" s="489"/>
      <c r="CS19" s="489"/>
      <c r="CT19" s="489"/>
      <c r="CU19" s="489"/>
      <c r="CV19" s="489"/>
      <c r="CW19" s="489"/>
      <c r="CX19" s="489"/>
      <c r="CY19" s="489"/>
      <c r="CZ19" s="489"/>
      <c r="DA19" s="489"/>
      <c r="DB19" s="489"/>
      <c r="DC19" s="489"/>
      <c r="DD19" s="489"/>
      <c r="DE19" s="489"/>
      <c r="DF19" s="489"/>
      <c r="DG19" s="489"/>
      <c r="DH19" s="489"/>
      <c r="DI19" s="489"/>
    </row>
    <row r="20" spans="1:113" s="491" customFormat="1" ht="20.25" customHeight="1">
      <c r="A20" s="95" t="s">
        <v>246</v>
      </c>
      <c r="B20" s="248" t="s">
        <v>261</v>
      </c>
      <c r="C20" s="51"/>
      <c r="D20" s="309">
        <f>H20+M20+R20</f>
        <v>10100.99</v>
      </c>
      <c r="E20" s="298">
        <f t="shared" si="0"/>
        <v>41.83</v>
      </c>
      <c r="F20" s="309">
        <f>K20+P20+U20</f>
        <v>19424.38</v>
      </c>
      <c r="G20" s="306">
        <f t="shared" si="1"/>
        <v>80.430000000000007</v>
      </c>
      <c r="H20" s="298">
        <v>8587.5499999999993</v>
      </c>
      <c r="I20" s="298">
        <f t="shared" si="2"/>
        <v>41.83</v>
      </c>
      <c r="J20" s="255">
        <f>J66</f>
        <v>1.9081999999999999</v>
      </c>
      <c r="K20" s="298">
        <f t="shared" si="11"/>
        <v>16386.759999999998</v>
      </c>
      <c r="L20" s="306">
        <f t="shared" si="3"/>
        <v>79.819999999999993</v>
      </c>
      <c r="M20" s="298">
        <v>1139.55</v>
      </c>
      <c r="N20" s="298">
        <f t="shared" si="4"/>
        <v>41.83</v>
      </c>
      <c r="O20" s="255">
        <f>O66</f>
        <v>2.0070999999999999</v>
      </c>
      <c r="P20" s="298">
        <f t="shared" si="10"/>
        <v>2287.19</v>
      </c>
      <c r="Q20" s="306">
        <f t="shared" si="8"/>
        <v>83.95</v>
      </c>
      <c r="R20" s="298">
        <v>373.89</v>
      </c>
      <c r="S20" s="298">
        <f t="shared" si="5"/>
        <v>41.83</v>
      </c>
      <c r="T20" s="255">
        <f>T66</f>
        <v>2.0070999999999999</v>
      </c>
      <c r="U20" s="298">
        <f>R20*T20</f>
        <v>750.43</v>
      </c>
      <c r="V20" s="306">
        <f t="shared" si="9"/>
        <v>83.95</v>
      </c>
      <c r="W20" s="400"/>
      <c r="X20" s="400"/>
      <c r="Y20" s="161"/>
      <c r="Z20" s="77"/>
      <c r="AA20" s="71"/>
      <c r="AB20" s="77"/>
      <c r="AC20" s="71"/>
      <c r="AD20" s="72"/>
      <c r="AE20" s="71"/>
      <c r="AF20" s="72"/>
      <c r="AG20" s="1104" t="s">
        <v>366</v>
      </c>
      <c r="AH20" s="1100" t="s">
        <v>308</v>
      </c>
      <c r="AI20" s="1100" t="s">
        <v>309</v>
      </c>
      <c r="AJ20" s="1100" t="s">
        <v>310</v>
      </c>
      <c r="AK20" s="1100"/>
      <c r="AL20" s="499"/>
      <c r="AM20" s="499"/>
      <c r="AN20" s="500"/>
      <c r="AO20" s="489"/>
      <c r="AP20" s="489"/>
      <c r="AQ20" s="489"/>
      <c r="AR20" s="489"/>
      <c r="AS20" s="489"/>
      <c r="AT20" s="489"/>
      <c r="AU20" s="489"/>
      <c r="AV20" s="489"/>
      <c r="AW20" s="489"/>
      <c r="AX20" s="489"/>
      <c r="AY20" s="489"/>
      <c r="AZ20" s="489"/>
      <c r="BA20" s="489"/>
      <c r="BB20" s="489"/>
      <c r="BC20" s="489"/>
      <c r="BD20" s="489"/>
      <c r="BE20" s="489"/>
      <c r="BF20" s="489"/>
      <c r="BG20" s="489"/>
      <c r="BH20" s="489"/>
      <c r="BI20" s="489"/>
      <c r="BJ20" s="489"/>
      <c r="BK20" s="489"/>
      <c r="BL20" s="489"/>
      <c r="BM20" s="489"/>
      <c r="BN20" s="489"/>
      <c r="BO20" s="489"/>
      <c r="BP20" s="489"/>
      <c r="BQ20" s="489"/>
      <c r="BR20" s="489"/>
      <c r="BS20" s="489"/>
      <c r="BT20" s="489"/>
      <c r="BU20" s="489"/>
      <c r="BV20" s="489"/>
      <c r="BW20" s="489"/>
      <c r="BX20" s="489"/>
      <c r="BY20" s="489"/>
      <c r="BZ20" s="489"/>
      <c r="CA20" s="489"/>
      <c r="CB20" s="489"/>
      <c r="CC20" s="489"/>
      <c r="CD20" s="489"/>
      <c r="CE20" s="489"/>
      <c r="CF20" s="489"/>
      <c r="CG20" s="489"/>
      <c r="CH20" s="489"/>
      <c r="CI20" s="489"/>
      <c r="CJ20" s="489"/>
      <c r="CK20" s="489"/>
      <c r="CL20" s="489"/>
      <c r="CM20" s="489"/>
      <c r="CN20" s="489"/>
      <c r="CO20" s="489"/>
      <c r="CP20" s="489"/>
      <c r="CQ20" s="489"/>
      <c r="CR20" s="489"/>
      <c r="CS20" s="489"/>
      <c r="CT20" s="489"/>
      <c r="CU20" s="489"/>
      <c r="CV20" s="489"/>
      <c r="CW20" s="489"/>
      <c r="CX20" s="489"/>
      <c r="CY20" s="489"/>
      <c r="CZ20" s="489"/>
      <c r="DA20" s="489"/>
      <c r="DB20" s="489"/>
      <c r="DC20" s="489"/>
      <c r="DD20" s="489"/>
      <c r="DE20" s="489"/>
      <c r="DF20" s="489"/>
      <c r="DG20" s="489"/>
      <c r="DH20" s="489"/>
    </row>
    <row r="21" spans="1:113" s="491" customFormat="1" ht="18" customHeight="1">
      <c r="A21" s="95" t="s">
        <v>35</v>
      </c>
      <c r="B21" s="223" t="s">
        <v>195</v>
      </c>
      <c r="C21" s="51" t="s">
        <v>30</v>
      </c>
      <c r="D21" s="309">
        <f t="shared" si="6"/>
        <v>0</v>
      </c>
      <c r="E21" s="298">
        <f t="shared" si="0"/>
        <v>0</v>
      </c>
      <c r="F21" s="309">
        <f t="shared" si="7"/>
        <v>0</v>
      </c>
      <c r="G21" s="306">
        <f t="shared" si="1"/>
        <v>0</v>
      </c>
      <c r="H21" s="298">
        <f>H22+H23</f>
        <v>0</v>
      </c>
      <c r="I21" s="298">
        <f t="shared" si="2"/>
        <v>0</v>
      </c>
      <c r="J21" s="255">
        <f>IF(H21=0,0,K21/H21)</f>
        <v>0</v>
      </c>
      <c r="K21" s="298">
        <f>K22+K23</f>
        <v>0</v>
      </c>
      <c r="L21" s="306">
        <f t="shared" si="3"/>
        <v>0</v>
      </c>
      <c r="M21" s="298">
        <f>M22+M23</f>
        <v>0</v>
      </c>
      <c r="N21" s="298">
        <f t="shared" si="4"/>
        <v>0</v>
      </c>
      <c r="O21" s="255">
        <f>IF(M21=0,0,P21/M21)</f>
        <v>0</v>
      </c>
      <c r="P21" s="298">
        <f>P22+P23</f>
        <v>0</v>
      </c>
      <c r="Q21" s="306">
        <f t="shared" si="8"/>
        <v>0</v>
      </c>
      <c r="R21" s="298">
        <f>R22+R23</f>
        <v>0</v>
      </c>
      <c r="S21" s="298">
        <f t="shared" si="5"/>
        <v>0</v>
      </c>
      <c r="T21" s="255">
        <f>IF(R21=0,0,U21/R21)</f>
        <v>0</v>
      </c>
      <c r="U21" s="298">
        <f>U22+U23</f>
        <v>0</v>
      </c>
      <c r="V21" s="306">
        <f t="shared" si="9"/>
        <v>0</v>
      </c>
      <c r="W21" s="400"/>
      <c r="X21" s="400"/>
      <c r="Y21" s="161">
        <v>0</v>
      </c>
      <c r="Z21" s="77">
        <v>0</v>
      </c>
      <c r="AA21" s="71">
        <v>0</v>
      </c>
      <c r="AB21" s="77">
        <v>0</v>
      </c>
      <c r="AC21" s="71">
        <v>0</v>
      </c>
      <c r="AD21" s="72">
        <v>0</v>
      </c>
      <c r="AE21" s="71">
        <v>0</v>
      </c>
      <c r="AF21" s="72">
        <v>0</v>
      </c>
      <c r="AG21" s="1104"/>
      <c r="AH21" s="1100"/>
      <c r="AI21" s="1100"/>
      <c r="AJ21" s="1100"/>
      <c r="AK21" s="1100"/>
      <c r="AL21" s="499"/>
      <c r="AM21" s="499"/>
      <c r="AN21" s="500"/>
      <c r="AO21" s="489"/>
      <c r="AP21" s="489"/>
      <c r="AQ21" s="489"/>
      <c r="AR21" s="489"/>
      <c r="AS21" s="489"/>
      <c r="AT21" s="489"/>
      <c r="AU21" s="489"/>
      <c r="AV21" s="489"/>
      <c r="AW21" s="489"/>
      <c r="AX21" s="489"/>
      <c r="AY21" s="489"/>
      <c r="AZ21" s="489"/>
      <c r="BA21" s="489"/>
      <c r="BB21" s="489"/>
      <c r="BC21" s="489"/>
      <c r="BD21" s="489"/>
      <c r="BE21" s="489"/>
      <c r="BF21" s="489"/>
      <c r="BG21" s="489"/>
      <c r="BH21" s="489"/>
      <c r="BI21" s="489"/>
      <c r="BJ21" s="489"/>
      <c r="BK21" s="489"/>
      <c r="BL21" s="489"/>
      <c r="BM21" s="489"/>
      <c r="BN21" s="489"/>
      <c r="BO21" s="489"/>
      <c r="BP21" s="489"/>
      <c r="BQ21" s="489"/>
      <c r="BR21" s="489"/>
      <c r="BS21" s="489"/>
      <c r="BT21" s="489"/>
      <c r="BU21" s="489"/>
      <c r="BV21" s="489"/>
      <c r="BW21" s="489"/>
      <c r="BX21" s="489"/>
      <c r="BY21" s="489"/>
      <c r="BZ21" s="489"/>
      <c r="CA21" s="489"/>
      <c r="CB21" s="489"/>
      <c r="CC21" s="489"/>
      <c r="CD21" s="489"/>
      <c r="CE21" s="489"/>
      <c r="CF21" s="489"/>
      <c r="CG21" s="489"/>
      <c r="CH21" s="489"/>
      <c r="CI21" s="489"/>
      <c r="CJ21" s="489"/>
      <c r="CK21" s="489"/>
      <c r="CL21" s="489"/>
      <c r="CM21" s="489"/>
      <c r="CN21" s="489"/>
      <c r="CO21" s="489"/>
      <c r="CP21" s="489"/>
      <c r="CQ21" s="489"/>
      <c r="CR21" s="489"/>
      <c r="CS21" s="489"/>
      <c r="CT21" s="489"/>
      <c r="CU21" s="489"/>
      <c r="CV21" s="489"/>
      <c r="CW21" s="489"/>
      <c r="CX21" s="489"/>
      <c r="CY21" s="489"/>
      <c r="CZ21" s="489"/>
      <c r="DA21" s="489"/>
      <c r="DB21" s="489"/>
      <c r="DC21" s="489"/>
      <c r="DD21" s="489"/>
      <c r="DE21" s="489"/>
      <c r="DF21" s="489"/>
      <c r="DG21" s="489"/>
      <c r="DH21" s="489"/>
    </row>
    <row r="22" spans="1:113" s="491" customFormat="1" ht="15.75" hidden="1" customHeight="1">
      <c r="A22" s="95" t="s">
        <v>197</v>
      </c>
      <c r="B22" s="223"/>
      <c r="C22" s="51"/>
      <c r="D22" s="309">
        <f t="shared" si="6"/>
        <v>0</v>
      </c>
      <c r="E22" s="298">
        <f t="shared" si="0"/>
        <v>0</v>
      </c>
      <c r="F22" s="309">
        <f t="shared" si="7"/>
        <v>0</v>
      </c>
      <c r="G22" s="306">
        <f t="shared" si="1"/>
        <v>0</v>
      </c>
      <c r="H22" s="309">
        <v>0</v>
      </c>
      <c r="I22" s="298">
        <f t="shared" si="2"/>
        <v>0</v>
      </c>
      <c r="J22" s="255">
        <v>1</v>
      </c>
      <c r="K22" s="298">
        <f t="shared" si="11"/>
        <v>0</v>
      </c>
      <c r="L22" s="306">
        <f t="shared" si="3"/>
        <v>0</v>
      </c>
      <c r="M22" s="298"/>
      <c r="N22" s="298">
        <f t="shared" si="4"/>
        <v>0</v>
      </c>
      <c r="O22" s="255">
        <v>1</v>
      </c>
      <c r="P22" s="298">
        <f t="shared" si="10"/>
        <v>0</v>
      </c>
      <c r="Q22" s="306">
        <f t="shared" si="8"/>
        <v>0</v>
      </c>
      <c r="R22" s="298"/>
      <c r="S22" s="298">
        <f t="shared" si="5"/>
        <v>0</v>
      </c>
      <c r="T22" s="255">
        <v>1</v>
      </c>
      <c r="U22" s="298">
        <f>R22*T22</f>
        <v>0</v>
      </c>
      <c r="V22" s="306">
        <f t="shared" si="9"/>
        <v>0</v>
      </c>
      <c r="W22" s="400"/>
      <c r="X22" s="400"/>
      <c r="Y22" s="161"/>
      <c r="Z22" s="77"/>
      <c r="AA22" s="71"/>
      <c r="AB22" s="77"/>
      <c r="AC22" s="71"/>
      <c r="AD22" s="72"/>
      <c r="AE22" s="71"/>
      <c r="AF22" s="72"/>
      <c r="AG22" s="1104"/>
      <c r="AH22" s="1100"/>
      <c r="AI22" s="1100"/>
      <c r="AJ22" s="1100"/>
      <c r="AK22" s="1100"/>
      <c r="AL22" s="499"/>
      <c r="AM22" s="499"/>
      <c r="AN22" s="500"/>
      <c r="AO22" s="489"/>
      <c r="AP22" s="489"/>
      <c r="AQ22" s="489"/>
      <c r="AR22" s="489"/>
      <c r="AS22" s="489"/>
      <c r="AT22" s="489"/>
      <c r="AU22" s="489"/>
      <c r="AV22" s="489"/>
      <c r="AW22" s="489"/>
      <c r="AX22" s="489"/>
      <c r="AY22" s="489"/>
      <c r="AZ22" s="489"/>
      <c r="BA22" s="489"/>
      <c r="BB22" s="489"/>
      <c r="BC22" s="489"/>
      <c r="BD22" s="489"/>
      <c r="BE22" s="489"/>
      <c r="BF22" s="489"/>
      <c r="BG22" s="489"/>
      <c r="BH22" s="489"/>
      <c r="BI22" s="489"/>
      <c r="BJ22" s="489"/>
      <c r="BK22" s="489"/>
      <c r="BL22" s="489"/>
      <c r="BM22" s="489"/>
      <c r="BN22" s="489"/>
      <c r="BO22" s="489"/>
      <c r="BP22" s="489"/>
      <c r="BQ22" s="489"/>
      <c r="BR22" s="489"/>
      <c r="BS22" s="489"/>
      <c r="BT22" s="489"/>
      <c r="BU22" s="489"/>
      <c r="BV22" s="489"/>
      <c r="BW22" s="489"/>
      <c r="BX22" s="489"/>
      <c r="BY22" s="489"/>
      <c r="BZ22" s="489"/>
      <c r="CA22" s="489"/>
      <c r="CB22" s="489"/>
      <c r="CC22" s="489"/>
      <c r="CD22" s="489"/>
      <c r="CE22" s="489"/>
      <c r="CF22" s="489"/>
      <c r="CG22" s="489"/>
      <c r="CH22" s="489"/>
      <c r="CI22" s="489"/>
      <c r="CJ22" s="489"/>
      <c r="CK22" s="489"/>
      <c r="CL22" s="489"/>
      <c r="CM22" s="489"/>
      <c r="CN22" s="489"/>
      <c r="CO22" s="489"/>
      <c r="CP22" s="489"/>
      <c r="CQ22" s="489"/>
      <c r="CR22" s="489"/>
      <c r="CS22" s="489"/>
      <c r="CT22" s="489"/>
      <c r="CU22" s="489"/>
      <c r="CV22" s="489"/>
      <c r="CW22" s="489"/>
      <c r="CX22" s="489"/>
      <c r="CY22" s="489"/>
      <c r="CZ22" s="489"/>
      <c r="DA22" s="489"/>
      <c r="DB22" s="489"/>
      <c r="DC22" s="489"/>
      <c r="DD22" s="489"/>
      <c r="DE22" s="489"/>
      <c r="DF22" s="489"/>
      <c r="DG22" s="489"/>
      <c r="DH22" s="489"/>
    </row>
    <row r="23" spans="1:113" s="491" customFormat="1" ht="15.75" hidden="1" customHeight="1">
      <c r="A23" s="95" t="s">
        <v>198</v>
      </c>
      <c r="B23" s="223" t="s">
        <v>78</v>
      </c>
      <c r="C23" s="51"/>
      <c r="D23" s="309">
        <f t="shared" si="6"/>
        <v>0</v>
      </c>
      <c r="E23" s="298">
        <f t="shared" si="0"/>
        <v>0</v>
      </c>
      <c r="F23" s="309">
        <f t="shared" si="7"/>
        <v>0</v>
      </c>
      <c r="G23" s="306">
        <f t="shared" si="1"/>
        <v>0</v>
      </c>
      <c r="H23" s="309">
        <v>0</v>
      </c>
      <c r="I23" s="298">
        <f t="shared" si="2"/>
        <v>0</v>
      </c>
      <c r="J23" s="255">
        <v>0</v>
      </c>
      <c r="K23" s="298">
        <f t="shared" si="11"/>
        <v>0</v>
      </c>
      <c r="L23" s="306">
        <f t="shared" si="3"/>
        <v>0</v>
      </c>
      <c r="M23" s="298"/>
      <c r="N23" s="298">
        <f t="shared" si="4"/>
        <v>0</v>
      </c>
      <c r="O23" s="255">
        <v>0</v>
      </c>
      <c r="P23" s="298">
        <f t="shared" si="10"/>
        <v>0</v>
      </c>
      <c r="Q23" s="306">
        <f t="shared" si="8"/>
        <v>0</v>
      </c>
      <c r="R23" s="298"/>
      <c r="S23" s="298">
        <f t="shared" si="5"/>
        <v>0</v>
      </c>
      <c r="T23" s="255">
        <v>0</v>
      </c>
      <c r="U23" s="298">
        <f>R23*T23</f>
        <v>0</v>
      </c>
      <c r="V23" s="306">
        <f t="shared" si="9"/>
        <v>0</v>
      </c>
      <c r="W23" s="400"/>
      <c r="X23" s="400"/>
      <c r="Y23" s="161"/>
      <c r="Z23" s="77"/>
      <c r="AA23" s="71"/>
      <c r="AB23" s="77"/>
      <c r="AC23" s="71"/>
      <c r="AD23" s="72"/>
      <c r="AE23" s="71"/>
      <c r="AF23" s="72"/>
      <c r="AG23" s="1104"/>
      <c r="AH23" s="1100"/>
      <c r="AI23" s="1100"/>
      <c r="AJ23" s="1100"/>
      <c r="AK23" s="1100"/>
      <c r="AL23" s="499"/>
      <c r="AM23" s="499"/>
      <c r="AN23" s="500"/>
      <c r="AO23" s="489"/>
      <c r="AP23" s="489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89"/>
      <c r="BR23" s="489"/>
      <c r="BS23" s="489"/>
      <c r="BT23" s="489"/>
      <c r="BU23" s="489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489"/>
      <c r="CH23" s="489"/>
      <c r="CI23" s="489"/>
      <c r="CJ23" s="489"/>
      <c r="CK23" s="489"/>
      <c r="CL23" s="489"/>
      <c r="CM23" s="489"/>
      <c r="CN23" s="489"/>
      <c r="CO23" s="489"/>
      <c r="CP23" s="489"/>
      <c r="CQ23" s="489"/>
      <c r="CR23" s="489"/>
      <c r="CS23" s="489"/>
      <c r="CT23" s="489"/>
      <c r="CU23" s="489"/>
      <c r="CV23" s="489"/>
      <c r="CW23" s="489"/>
      <c r="CX23" s="489"/>
      <c r="CY23" s="489"/>
      <c r="CZ23" s="489"/>
      <c r="DA23" s="489"/>
      <c r="DB23" s="489"/>
      <c r="DC23" s="489"/>
      <c r="DD23" s="489"/>
      <c r="DE23" s="489"/>
      <c r="DF23" s="489"/>
      <c r="DG23" s="489"/>
      <c r="DH23" s="489"/>
    </row>
    <row r="24" spans="1:113" s="491" customFormat="1" ht="15.75" customHeight="1">
      <c r="A24" s="95" t="s">
        <v>36</v>
      </c>
      <c r="B24" s="223" t="s">
        <v>199</v>
      </c>
      <c r="C24" s="51"/>
      <c r="D24" s="309">
        <f t="shared" si="6"/>
        <v>0</v>
      </c>
      <c r="E24" s="298">
        <f t="shared" si="0"/>
        <v>0</v>
      </c>
      <c r="F24" s="309">
        <f t="shared" si="7"/>
        <v>0</v>
      </c>
      <c r="G24" s="306">
        <f t="shared" si="1"/>
        <v>0</v>
      </c>
      <c r="H24" s="298">
        <f>H25+H26</f>
        <v>0</v>
      </c>
      <c r="I24" s="298">
        <f t="shared" si="2"/>
        <v>0</v>
      </c>
      <c r="J24" s="255">
        <f>IF(H24=0,0,K24/H24)</f>
        <v>0</v>
      </c>
      <c r="K24" s="298">
        <f>K25+K26</f>
        <v>0</v>
      </c>
      <c r="L24" s="306">
        <f t="shared" si="3"/>
        <v>0</v>
      </c>
      <c r="M24" s="298">
        <f>M25+M26</f>
        <v>0</v>
      </c>
      <c r="N24" s="298">
        <f t="shared" si="4"/>
        <v>0</v>
      </c>
      <c r="O24" s="255">
        <f>IF(M24=0,0,P24/M24)</f>
        <v>0</v>
      </c>
      <c r="P24" s="298">
        <f>P25+P26</f>
        <v>0</v>
      </c>
      <c r="Q24" s="306">
        <f t="shared" si="8"/>
        <v>0</v>
      </c>
      <c r="R24" s="298">
        <f>R25+R26</f>
        <v>0</v>
      </c>
      <c r="S24" s="298">
        <f t="shared" si="5"/>
        <v>0</v>
      </c>
      <c r="T24" s="255">
        <f>IF(R24=0,0,U24/R24)</f>
        <v>0</v>
      </c>
      <c r="U24" s="298">
        <f>U25+U26</f>
        <v>0</v>
      </c>
      <c r="V24" s="306">
        <f t="shared" si="9"/>
        <v>0</v>
      </c>
      <c r="W24" s="400"/>
      <c r="X24" s="400"/>
      <c r="Y24" s="161"/>
      <c r="Z24" s="77"/>
      <c r="AA24" s="71"/>
      <c r="AB24" s="77"/>
      <c r="AC24" s="71"/>
      <c r="AD24" s="72"/>
      <c r="AE24" s="71"/>
      <c r="AF24" s="72"/>
      <c r="AG24" s="1104"/>
      <c r="AH24" s="1100"/>
      <c r="AI24" s="1100"/>
      <c r="AJ24" s="1100"/>
      <c r="AK24" s="1100"/>
      <c r="AL24" s="499"/>
      <c r="AM24" s="1095" t="s">
        <v>366</v>
      </c>
      <c r="AN24" s="1095"/>
      <c r="AO24" s="1091" t="s">
        <v>302</v>
      </c>
      <c r="AP24" s="1092"/>
      <c r="AQ24" s="1091" t="s">
        <v>353</v>
      </c>
      <c r="AR24" s="1092"/>
      <c r="AS24" s="1091"/>
      <c r="AT24" s="1092"/>
      <c r="AU24" s="489"/>
      <c r="AV24" s="489"/>
      <c r="AW24" s="489"/>
      <c r="AX24" s="489"/>
      <c r="AY24" s="489"/>
      <c r="AZ24" s="489"/>
      <c r="BA24" s="489"/>
      <c r="BB24" s="489"/>
      <c r="BC24" s="489"/>
      <c r="BD24" s="489"/>
      <c r="BE24" s="489"/>
      <c r="BF24" s="489"/>
      <c r="BG24" s="489"/>
      <c r="BH24" s="489"/>
      <c r="BI24" s="489"/>
      <c r="BJ24" s="489"/>
      <c r="BK24" s="489"/>
      <c r="BL24" s="489"/>
      <c r="BM24" s="489"/>
      <c r="BN24" s="489"/>
      <c r="BO24" s="489"/>
      <c r="BP24" s="489"/>
      <c r="BQ24" s="489"/>
      <c r="BR24" s="489"/>
      <c r="BS24" s="489"/>
      <c r="BT24" s="489"/>
      <c r="BU24" s="489"/>
      <c r="BV24" s="489"/>
      <c r="BW24" s="489"/>
      <c r="BX24" s="489"/>
      <c r="BY24" s="489"/>
      <c r="BZ24" s="489"/>
      <c r="CA24" s="489"/>
      <c r="CB24" s="489"/>
      <c r="CC24" s="489"/>
      <c r="CD24" s="489"/>
      <c r="CE24" s="489"/>
      <c r="CF24" s="489"/>
      <c r="CG24" s="489"/>
      <c r="CH24" s="489"/>
      <c r="CI24" s="489"/>
      <c r="CJ24" s="489"/>
      <c r="CK24" s="489"/>
      <c r="CL24" s="489"/>
      <c r="CM24" s="489"/>
      <c r="CN24" s="489"/>
      <c r="CO24" s="489"/>
      <c r="CP24" s="489"/>
      <c r="CQ24" s="489"/>
      <c r="CR24" s="489"/>
      <c r="CS24" s="489"/>
      <c r="CT24" s="489"/>
      <c r="CU24" s="489"/>
      <c r="CV24" s="489"/>
      <c r="CW24" s="489"/>
      <c r="CX24" s="489"/>
      <c r="CY24" s="489"/>
      <c r="CZ24" s="489"/>
      <c r="DA24" s="489"/>
      <c r="DB24" s="489"/>
      <c r="DC24" s="489"/>
      <c r="DD24" s="489"/>
      <c r="DE24" s="489"/>
      <c r="DF24" s="489"/>
      <c r="DG24" s="489"/>
      <c r="DH24" s="489"/>
    </row>
    <row r="25" spans="1:113" s="491" customFormat="1" ht="15.75" hidden="1" customHeight="1">
      <c r="A25" s="95" t="s">
        <v>200</v>
      </c>
      <c r="B25" s="223"/>
      <c r="C25" s="51"/>
      <c r="D25" s="309">
        <f t="shared" si="6"/>
        <v>0</v>
      </c>
      <c r="E25" s="298">
        <f t="shared" si="0"/>
        <v>0</v>
      </c>
      <c r="F25" s="309">
        <f t="shared" si="7"/>
        <v>0</v>
      </c>
      <c r="G25" s="306">
        <f t="shared" si="1"/>
        <v>0</v>
      </c>
      <c r="H25" s="309">
        <v>0</v>
      </c>
      <c r="I25" s="298">
        <f t="shared" si="2"/>
        <v>0</v>
      </c>
      <c r="J25" s="255">
        <v>1</v>
      </c>
      <c r="K25" s="298">
        <f t="shared" si="11"/>
        <v>0</v>
      </c>
      <c r="L25" s="306">
        <f t="shared" si="3"/>
        <v>0</v>
      </c>
      <c r="M25" s="298"/>
      <c r="N25" s="298">
        <f t="shared" si="4"/>
        <v>0</v>
      </c>
      <c r="O25" s="255">
        <v>1</v>
      </c>
      <c r="P25" s="298">
        <f t="shared" si="10"/>
        <v>0</v>
      </c>
      <c r="Q25" s="306">
        <f t="shared" si="8"/>
        <v>0</v>
      </c>
      <c r="R25" s="298"/>
      <c r="S25" s="298">
        <f t="shared" si="5"/>
        <v>0</v>
      </c>
      <c r="T25" s="255">
        <v>1</v>
      </c>
      <c r="U25" s="298">
        <f>R25*T25</f>
        <v>0</v>
      </c>
      <c r="V25" s="306">
        <f t="shared" si="9"/>
        <v>0</v>
      </c>
      <c r="W25" s="400"/>
      <c r="X25" s="400"/>
      <c r="Y25" s="161"/>
      <c r="Z25" s="77"/>
      <c r="AA25" s="71"/>
      <c r="AB25" s="77"/>
      <c r="AC25" s="71"/>
      <c r="AD25" s="72"/>
      <c r="AE25" s="71"/>
      <c r="AF25" s="72"/>
      <c r="AG25" s="1104"/>
      <c r="AH25" s="1100"/>
      <c r="AI25" s="1100"/>
      <c r="AJ25" s="1100"/>
      <c r="AK25" s="1100"/>
      <c r="AL25" s="499"/>
      <c r="AM25" s="1095"/>
      <c r="AN25" s="1095"/>
      <c r="AO25" s="1093" t="s">
        <v>302</v>
      </c>
      <c r="AP25" s="1094"/>
      <c r="AQ25" s="1093" t="s">
        <v>303</v>
      </c>
      <c r="AR25" s="1094"/>
      <c r="AS25" s="1093"/>
      <c r="AT25" s="1094"/>
      <c r="AU25" s="489"/>
      <c r="AV25" s="489"/>
      <c r="AW25" s="489"/>
      <c r="AX25" s="489"/>
      <c r="AY25" s="489"/>
      <c r="AZ25" s="489"/>
      <c r="BA25" s="489"/>
      <c r="BB25" s="489"/>
      <c r="BC25" s="489"/>
      <c r="BD25" s="489"/>
      <c r="BE25" s="489"/>
      <c r="BF25" s="489"/>
      <c r="BG25" s="489"/>
      <c r="BH25" s="489"/>
      <c r="BI25" s="489"/>
      <c r="BJ25" s="489"/>
      <c r="BK25" s="489"/>
      <c r="BL25" s="489"/>
      <c r="BM25" s="489"/>
      <c r="BN25" s="489"/>
      <c r="BO25" s="489"/>
      <c r="BP25" s="489"/>
      <c r="BQ25" s="489"/>
      <c r="BR25" s="489"/>
      <c r="BS25" s="489"/>
      <c r="BT25" s="489"/>
      <c r="BU25" s="489"/>
      <c r="BV25" s="489"/>
      <c r="BW25" s="489"/>
      <c r="BX25" s="489"/>
      <c r="BY25" s="489"/>
      <c r="BZ25" s="489"/>
      <c r="CA25" s="489"/>
      <c r="CB25" s="489"/>
      <c r="CC25" s="489"/>
      <c r="CD25" s="489"/>
      <c r="CE25" s="489"/>
      <c r="CF25" s="489"/>
      <c r="CG25" s="489"/>
      <c r="CH25" s="489"/>
      <c r="CI25" s="489"/>
      <c r="CJ25" s="489"/>
      <c r="CK25" s="489"/>
      <c r="CL25" s="489"/>
      <c r="CM25" s="489"/>
      <c r="CN25" s="489"/>
      <c r="CO25" s="489"/>
      <c r="CP25" s="489"/>
      <c r="CQ25" s="489"/>
      <c r="CR25" s="489"/>
      <c r="CS25" s="489"/>
      <c r="CT25" s="489"/>
      <c r="CU25" s="489"/>
      <c r="CV25" s="489"/>
      <c r="CW25" s="489"/>
      <c r="CX25" s="489"/>
      <c r="CY25" s="489"/>
      <c r="CZ25" s="489"/>
      <c r="DA25" s="489"/>
      <c r="DB25" s="489"/>
      <c r="DC25" s="489"/>
      <c r="DD25" s="489"/>
      <c r="DE25" s="489"/>
      <c r="DF25" s="489"/>
      <c r="DG25" s="489"/>
      <c r="DH25" s="489"/>
    </row>
    <row r="26" spans="1:113" s="491" customFormat="1" ht="15.75" hidden="1" customHeight="1">
      <c r="A26" s="95" t="s">
        <v>201</v>
      </c>
      <c r="B26" s="223"/>
      <c r="C26" s="51"/>
      <c r="D26" s="309">
        <f t="shared" si="6"/>
        <v>0</v>
      </c>
      <c r="E26" s="298">
        <f t="shared" si="0"/>
        <v>0</v>
      </c>
      <c r="F26" s="309">
        <f t="shared" si="7"/>
        <v>0</v>
      </c>
      <c r="G26" s="306">
        <f t="shared" si="1"/>
        <v>0</v>
      </c>
      <c r="H26" s="298">
        <v>0</v>
      </c>
      <c r="I26" s="298">
        <f t="shared" si="2"/>
        <v>0</v>
      </c>
      <c r="J26" s="255">
        <f>IF(H26=0,0,1)</f>
        <v>0</v>
      </c>
      <c r="K26" s="298">
        <f t="shared" si="11"/>
        <v>0</v>
      </c>
      <c r="L26" s="306">
        <f t="shared" si="3"/>
        <v>0</v>
      </c>
      <c r="M26" s="298"/>
      <c r="N26" s="298">
        <f t="shared" si="4"/>
        <v>0</v>
      </c>
      <c r="O26" s="255">
        <f>IF(M26=0,0,1)</f>
        <v>0</v>
      </c>
      <c r="P26" s="298">
        <f t="shared" si="10"/>
        <v>0</v>
      </c>
      <c r="Q26" s="306">
        <f t="shared" si="8"/>
        <v>0</v>
      </c>
      <c r="R26" s="298"/>
      <c r="S26" s="298">
        <f t="shared" si="5"/>
        <v>0</v>
      </c>
      <c r="T26" s="255">
        <f>IF(R26=0,0,1)</f>
        <v>0</v>
      </c>
      <c r="U26" s="298">
        <f>R26*T26</f>
        <v>0</v>
      </c>
      <c r="V26" s="306">
        <f t="shared" si="9"/>
        <v>0</v>
      </c>
      <c r="W26" s="400"/>
      <c r="X26" s="400"/>
      <c r="Y26" s="161"/>
      <c r="Z26" s="77"/>
      <c r="AA26" s="71"/>
      <c r="AB26" s="77"/>
      <c r="AC26" s="71"/>
      <c r="AD26" s="72"/>
      <c r="AE26" s="71"/>
      <c r="AF26" s="72"/>
      <c r="AG26" s="1104"/>
      <c r="AH26" s="1100"/>
      <c r="AI26" s="1100"/>
      <c r="AJ26" s="1100"/>
      <c r="AK26" s="1100"/>
      <c r="AL26" s="499"/>
      <c r="AM26" s="1095"/>
      <c r="AN26" s="1095"/>
      <c r="AO26" s="1093" t="s">
        <v>302</v>
      </c>
      <c r="AP26" s="1094"/>
      <c r="AQ26" s="1093" t="s">
        <v>303</v>
      </c>
      <c r="AR26" s="1094"/>
      <c r="AS26" s="1093"/>
      <c r="AT26" s="1094"/>
      <c r="AU26" s="489"/>
      <c r="AV26" s="489"/>
      <c r="AW26" s="489"/>
      <c r="AX26" s="489"/>
      <c r="AY26" s="489"/>
      <c r="AZ26" s="489"/>
      <c r="BA26" s="489"/>
      <c r="BB26" s="489"/>
      <c r="BC26" s="489"/>
      <c r="BD26" s="489"/>
      <c r="BE26" s="489"/>
      <c r="BF26" s="489"/>
      <c r="BG26" s="489"/>
      <c r="BH26" s="489"/>
      <c r="BI26" s="489"/>
      <c r="BJ26" s="489"/>
      <c r="BK26" s="489"/>
      <c r="BL26" s="489"/>
      <c r="BM26" s="489"/>
      <c r="BN26" s="489"/>
      <c r="BO26" s="489"/>
      <c r="BP26" s="489"/>
      <c r="BQ26" s="489"/>
      <c r="BR26" s="489"/>
      <c r="BS26" s="489"/>
      <c r="BT26" s="489"/>
      <c r="BU26" s="489"/>
      <c r="BV26" s="489"/>
      <c r="BW26" s="489"/>
      <c r="BX26" s="489"/>
      <c r="BY26" s="489"/>
      <c r="BZ26" s="489"/>
      <c r="CA26" s="489"/>
      <c r="CB26" s="489"/>
      <c r="CC26" s="489"/>
      <c r="CD26" s="489"/>
      <c r="CE26" s="489"/>
      <c r="CF26" s="489"/>
      <c r="CG26" s="489"/>
      <c r="CH26" s="489"/>
      <c r="CI26" s="489"/>
      <c r="CJ26" s="489"/>
      <c r="CK26" s="489"/>
      <c r="CL26" s="489"/>
      <c r="CM26" s="489"/>
      <c r="CN26" s="489"/>
      <c r="CO26" s="489"/>
      <c r="CP26" s="489"/>
      <c r="CQ26" s="489"/>
      <c r="CR26" s="489"/>
      <c r="CS26" s="489"/>
      <c r="CT26" s="489"/>
      <c r="CU26" s="489"/>
      <c r="CV26" s="489"/>
      <c r="CW26" s="489"/>
      <c r="CX26" s="489"/>
      <c r="CY26" s="489"/>
      <c r="CZ26" s="489"/>
      <c r="DA26" s="489"/>
      <c r="DB26" s="489"/>
      <c r="DC26" s="489"/>
      <c r="DD26" s="489"/>
      <c r="DE26" s="489"/>
      <c r="DF26" s="489"/>
      <c r="DG26" s="489"/>
      <c r="DH26" s="489"/>
    </row>
    <row r="27" spans="1:113" s="491" customFormat="1" ht="17.25" customHeight="1">
      <c r="A27" s="95" t="s">
        <v>38</v>
      </c>
      <c r="B27" s="223" t="s">
        <v>37</v>
      </c>
      <c r="C27" s="51" t="s">
        <v>30</v>
      </c>
      <c r="D27" s="309">
        <f t="shared" si="6"/>
        <v>1026.9100000000001</v>
      </c>
      <c r="E27" s="298">
        <f t="shared" si="0"/>
        <v>4.25</v>
      </c>
      <c r="F27" s="309">
        <f t="shared" si="7"/>
        <v>1026.9100000000001</v>
      </c>
      <c r="G27" s="306">
        <f t="shared" si="1"/>
        <v>4.25</v>
      </c>
      <c r="H27" s="298">
        <v>873.05</v>
      </c>
      <c r="I27" s="298">
        <f t="shared" si="2"/>
        <v>4.25</v>
      </c>
      <c r="J27" s="255">
        <f t="shared" ref="J27:J50" si="12">IF(H27=0,0,1)</f>
        <v>1</v>
      </c>
      <c r="K27" s="298">
        <f t="shared" si="11"/>
        <v>873.05</v>
      </c>
      <c r="L27" s="306">
        <f t="shared" si="3"/>
        <v>4.25</v>
      </c>
      <c r="M27" s="298">
        <v>115.85</v>
      </c>
      <c r="N27" s="298">
        <f t="shared" si="4"/>
        <v>4.25</v>
      </c>
      <c r="O27" s="255">
        <f t="shared" ref="O27:O57" si="13">IF(M27=0,0,1)</f>
        <v>1</v>
      </c>
      <c r="P27" s="298">
        <f t="shared" si="10"/>
        <v>115.85</v>
      </c>
      <c r="Q27" s="306">
        <f t="shared" si="8"/>
        <v>4.25</v>
      </c>
      <c r="R27" s="298">
        <v>38.01</v>
      </c>
      <c r="S27" s="298">
        <f t="shared" si="5"/>
        <v>4.25</v>
      </c>
      <c r="T27" s="255">
        <f t="shared" ref="T27:T57" si="14">IF(R27=0,0,1)</f>
        <v>1</v>
      </c>
      <c r="U27" s="298">
        <f>R27*T27</f>
        <v>38.01</v>
      </c>
      <c r="V27" s="306">
        <f t="shared" si="9"/>
        <v>4.25</v>
      </c>
      <c r="W27" s="400"/>
      <c r="X27" s="400"/>
      <c r="Y27" s="161">
        <v>28.12</v>
      </c>
      <c r="Z27" s="77">
        <v>0.46</v>
      </c>
      <c r="AA27" s="71">
        <v>23.93</v>
      </c>
      <c r="AB27" s="77">
        <v>0.46</v>
      </c>
      <c r="AC27" s="71">
        <v>3.32</v>
      </c>
      <c r="AD27" s="72">
        <v>0.46</v>
      </c>
      <c r="AE27" s="71">
        <v>0.87</v>
      </c>
      <c r="AF27" s="72">
        <v>0.46</v>
      </c>
      <c r="AG27" s="1104"/>
      <c r="AH27" s="1100"/>
      <c r="AI27" s="1100"/>
      <c r="AJ27" s="1100"/>
      <c r="AK27" s="1100"/>
      <c r="AL27" s="489"/>
      <c r="AM27" s="1095"/>
      <c r="AN27" s="1095"/>
      <c r="AO27" s="1095" t="s">
        <v>307</v>
      </c>
      <c r="AP27" s="1095" t="s">
        <v>305</v>
      </c>
      <c r="AQ27" s="1095" t="s">
        <v>307</v>
      </c>
      <c r="AR27" s="1095" t="s">
        <v>305</v>
      </c>
      <c r="AS27" s="1095"/>
      <c r="AT27" s="1095"/>
      <c r="AU27" s="489"/>
      <c r="AV27" s="489"/>
      <c r="AW27" s="489"/>
      <c r="AX27" s="489"/>
      <c r="AY27" s="489"/>
      <c r="AZ27" s="489"/>
      <c r="BA27" s="489"/>
      <c r="BB27" s="489"/>
      <c r="BC27" s="489"/>
      <c r="BD27" s="489"/>
      <c r="BE27" s="489"/>
      <c r="BF27" s="489"/>
      <c r="BG27" s="489"/>
      <c r="BH27" s="489"/>
      <c r="BI27" s="489"/>
      <c r="BJ27" s="489"/>
      <c r="BK27" s="489"/>
      <c r="BL27" s="489"/>
      <c r="BM27" s="489"/>
      <c r="BN27" s="489"/>
      <c r="BO27" s="489"/>
      <c r="BP27" s="489"/>
      <c r="BQ27" s="489"/>
      <c r="BR27" s="489"/>
      <c r="BS27" s="489"/>
      <c r="BT27" s="489"/>
      <c r="BU27" s="489"/>
      <c r="BV27" s="489"/>
      <c r="BW27" s="489"/>
      <c r="BX27" s="489"/>
      <c r="BY27" s="489"/>
      <c r="BZ27" s="489"/>
      <c r="CA27" s="489"/>
      <c r="CB27" s="489"/>
      <c r="CC27" s="489"/>
      <c r="CD27" s="489"/>
      <c r="CE27" s="489"/>
      <c r="CF27" s="489"/>
      <c r="CG27" s="489"/>
      <c r="CH27" s="489"/>
      <c r="CI27" s="489"/>
      <c r="CJ27" s="489"/>
      <c r="CK27" s="489"/>
      <c r="CL27" s="489"/>
      <c r="CM27" s="489"/>
      <c r="CN27" s="489"/>
      <c r="CO27" s="489"/>
      <c r="CP27" s="489"/>
      <c r="CQ27" s="489"/>
      <c r="CR27" s="489"/>
      <c r="CS27" s="489"/>
      <c r="CT27" s="489"/>
      <c r="CU27" s="489"/>
      <c r="CV27" s="489"/>
      <c r="CW27" s="489"/>
      <c r="CX27" s="489"/>
      <c r="CY27" s="489"/>
      <c r="CZ27" s="489"/>
      <c r="DA27" s="489"/>
      <c r="DB27" s="489"/>
      <c r="DC27" s="489"/>
      <c r="DD27" s="489"/>
      <c r="DE27" s="489"/>
      <c r="DF27" s="489"/>
      <c r="DG27" s="489"/>
      <c r="DH27" s="489"/>
    </row>
    <row r="28" spans="1:113" s="491" customFormat="1" ht="17.25" customHeight="1">
      <c r="A28" s="95" t="s">
        <v>135</v>
      </c>
      <c r="B28" s="223" t="s">
        <v>39</v>
      </c>
      <c r="C28" s="51" t="s">
        <v>30</v>
      </c>
      <c r="D28" s="309">
        <f t="shared" si="6"/>
        <v>1417.64</v>
      </c>
      <c r="E28" s="298">
        <f t="shared" si="0"/>
        <v>5.87</v>
      </c>
      <c r="F28" s="309">
        <f t="shared" si="7"/>
        <v>1417.64</v>
      </c>
      <c r="G28" s="306">
        <f t="shared" si="1"/>
        <v>5.87</v>
      </c>
      <c r="H28" s="298">
        <v>1205.24</v>
      </c>
      <c r="I28" s="298">
        <f t="shared" si="2"/>
        <v>5.87</v>
      </c>
      <c r="J28" s="255">
        <f t="shared" si="12"/>
        <v>1</v>
      </c>
      <c r="K28" s="298">
        <f t="shared" si="11"/>
        <v>1205.24</v>
      </c>
      <c r="L28" s="306">
        <f t="shared" si="3"/>
        <v>5.87</v>
      </c>
      <c r="M28" s="298">
        <v>159.93</v>
      </c>
      <c r="N28" s="298">
        <f t="shared" si="4"/>
        <v>5.87</v>
      </c>
      <c r="O28" s="255">
        <f t="shared" si="13"/>
        <v>1</v>
      </c>
      <c r="P28" s="298">
        <f t="shared" si="10"/>
        <v>159.93</v>
      </c>
      <c r="Q28" s="306">
        <f t="shared" si="8"/>
        <v>5.87</v>
      </c>
      <c r="R28" s="298">
        <v>52.47</v>
      </c>
      <c r="S28" s="298">
        <f t="shared" si="5"/>
        <v>5.87</v>
      </c>
      <c r="T28" s="255">
        <f t="shared" si="14"/>
        <v>1</v>
      </c>
      <c r="U28" s="298">
        <f>R28*T28</f>
        <v>52.47</v>
      </c>
      <c r="V28" s="306">
        <f t="shared" si="9"/>
        <v>5.87</v>
      </c>
      <c r="W28" s="400"/>
      <c r="X28" s="400"/>
      <c r="Y28" s="161">
        <v>217.51</v>
      </c>
      <c r="Z28" s="77">
        <v>3.55</v>
      </c>
      <c r="AA28" s="71">
        <v>185.14</v>
      </c>
      <c r="AB28" s="77">
        <v>3.55</v>
      </c>
      <c r="AC28" s="71">
        <v>25.67</v>
      </c>
      <c r="AD28" s="72">
        <v>3.55</v>
      </c>
      <c r="AE28" s="71">
        <v>6.7</v>
      </c>
      <c r="AF28" s="72">
        <v>3.55</v>
      </c>
      <c r="AG28" s="501">
        <f>SUM(AH28:AJ28)</f>
        <v>241491.87</v>
      </c>
      <c r="AH28" s="502">
        <f>H61</f>
        <v>205308.92</v>
      </c>
      <c r="AI28" s="502">
        <f>M61</f>
        <v>27244.13</v>
      </c>
      <c r="AJ28" s="502">
        <f>R61</f>
        <v>8938.82</v>
      </c>
      <c r="AK28" s="419" t="s">
        <v>249</v>
      </c>
      <c r="AL28" s="500"/>
      <c r="AM28" s="1095"/>
      <c r="AN28" s="1095"/>
      <c r="AO28" s="1095"/>
      <c r="AP28" s="1095"/>
      <c r="AQ28" s="1095"/>
      <c r="AR28" s="1095"/>
      <c r="AS28" s="1095"/>
      <c r="AT28" s="1095"/>
      <c r="AU28" s="489"/>
      <c r="AV28" s="489"/>
      <c r="AW28" s="489"/>
      <c r="AX28" s="489"/>
      <c r="AY28" s="489"/>
      <c r="AZ28" s="489"/>
      <c r="BA28" s="489"/>
      <c r="BB28" s="489"/>
      <c r="BC28" s="489"/>
      <c r="BD28" s="489"/>
      <c r="BE28" s="489"/>
      <c r="BF28" s="489"/>
      <c r="BG28" s="489"/>
      <c r="BH28" s="489"/>
      <c r="BI28" s="489"/>
      <c r="BJ28" s="489"/>
      <c r="BK28" s="489"/>
      <c r="BL28" s="489"/>
      <c r="BM28" s="489"/>
      <c r="BN28" s="489"/>
      <c r="BO28" s="489"/>
      <c r="BP28" s="489"/>
      <c r="BQ28" s="489"/>
      <c r="BR28" s="489"/>
      <c r="BS28" s="489"/>
      <c r="BT28" s="489"/>
      <c r="BU28" s="489"/>
      <c r="BV28" s="489"/>
      <c r="BW28" s="489"/>
      <c r="BX28" s="489"/>
      <c r="BY28" s="489"/>
      <c r="BZ28" s="489"/>
      <c r="CA28" s="489"/>
      <c r="CB28" s="489"/>
      <c r="CC28" s="489"/>
      <c r="CD28" s="489"/>
      <c r="CE28" s="489"/>
      <c r="CF28" s="489"/>
      <c r="CG28" s="489"/>
      <c r="CH28" s="489"/>
      <c r="CI28" s="489"/>
      <c r="CJ28" s="489"/>
      <c r="CK28" s="489"/>
      <c r="CL28" s="489"/>
      <c r="CM28" s="489"/>
      <c r="CN28" s="489"/>
      <c r="CO28" s="489"/>
      <c r="CP28" s="489"/>
      <c r="CQ28" s="489"/>
      <c r="CR28" s="489"/>
      <c r="CS28" s="489"/>
      <c r="CT28" s="489"/>
      <c r="CU28" s="489"/>
      <c r="CV28" s="489"/>
      <c r="CW28" s="489"/>
      <c r="CX28" s="489"/>
      <c r="CY28" s="489"/>
      <c r="CZ28" s="489"/>
      <c r="DA28" s="489"/>
      <c r="DB28" s="489"/>
      <c r="DC28" s="489"/>
      <c r="DD28" s="489"/>
      <c r="DE28" s="489"/>
      <c r="DF28" s="489"/>
      <c r="DG28" s="489"/>
      <c r="DH28" s="489"/>
    </row>
    <row r="29" spans="1:113" s="491" customFormat="1" ht="39.75" customHeight="1">
      <c r="A29" s="95" t="s">
        <v>40</v>
      </c>
      <c r="B29" s="222" t="s">
        <v>342</v>
      </c>
      <c r="C29" s="51"/>
      <c r="D29" s="309">
        <f>H29+M29+R29</f>
        <v>15192.32</v>
      </c>
      <c r="E29" s="298">
        <f t="shared" si="0"/>
        <v>62.91</v>
      </c>
      <c r="F29" s="309">
        <f>K29+P29+U29</f>
        <v>19574.43</v>
      </c>
      <c r="G29" s="306">
        <f t="shared" si="1"/>
        <v>81.06</v>
      </c>
      <c r="H29" s="298">
        <f>H30+H31</f>
        <v>12916.04</v>
      </c>
      <c r="I29" s="298">
        <f t="shared" si="2"/>
        <v>62.91</v>
      </c>
      <c r="J29" s="255">
        <f>$J$67</f>
        <v>1.2884</v>
      </c>
      <c r="K29" s="298">
        <f>K30+K31</f>
        <v>16641.57</v>
      </c>
      <c r="L29" s="306">
        <f t="shared" si="3"/>
        <v>81.06</v>
      </c>
      <c r="M29" s="298">
        <f>M30+M31</f>
        <v>1713.94</v>
      </c>
      <c r="N29" s="298">
        <f t="shared" si="4"/>
        <v>62.91</v>
      </c>
      <c r="O29" s="255">
        <f>$O$67</f>
        <v>1.2884</v>
      </c>
      <c r="P29" s="298">
        <f>P30+P31</f>
        <v>2208.31</v>
      </c>
      <c r="Q29" s="306">
        <f t="shared" si="8"/>
        <v>81.06</v>
      </c>
      <c r="R29" s="298">
        <f>R30+R31</f>
        <v>562.34</v>
      </c>
      <c r="S29" s="298">
        <f t="shared" si="5"/>
        <v>62.91</v>
      </c>
      <c r="T29" s="255">
        <f>$T$67</f>
        <v>1.2884</v>
      </c>
      <c r="U29" s="298">
        <f>U30+U31</f>
        <v>724.55</v>
      </c>
      <c r="V29" s="306">
        <f t="shared" si="9"/>
        <v>81.06</v>
      </c>
      <c r="W29" s="400"/>
      <c r="X29" s="400"/>
      <c r="Y29" s="161"/>
      <c r="Z29" s="77"/>
      <c r="AA29" s="71"/>
      <c r="AB29" s="77"/>
      <c r="AC29" s="71"/>
      <c r="AD29" s="72"/>
      <c r="AE29" s="71"/>
      <c r="AF29" s="72"/>
      <c r="AG29" s="501"/>
      <c r="AH29" s="502"/>
      <c r="AI29" s="502"/>
      <c r="AJ29" s="502"/>
      <c r="AK29" s="419"/>
      <c r="AL29" s="500"/>
      <c r="AM29" s="215"/>
      <c r="AN29" s="215"/>
      <c r="AO29" s="1095"/>
      <c r="AP29" s="1095"/>
      <c r="AQ29" s="1095"/>
      <c r="AR29" s="1095"/>
      <c r="AS29" s="1095"/>
      <c r="AT29" s="1095"/>
      <c r="AU29" s="489"/>
      <c r="AV29" s="489"/>
      <c r="AW29" s="489"/>
      <c r="AX29" s="489"/>
      <c r="AY29" s="489"/>
      <c r="AZ29" s="489"/>
      <c r="BA29" s="489"/>
      <c r="BB29" s="489"/>
      <c r="BC29" s="489"/>
      <c r="BD29" s="489"/>
      <c r="BE29" s="489"/>
      <c r="BF29" s="489"/>
      <c r="BG29" s="489"/>
      <c r="BH29" s="489"/>
      <c r="BI29" s="489"/>
      <c r="BJ29" s="489"/>
      <c r="BK29" s="489"/>
      <c r="BL29" s="489"/>
      <c r="BM29" s="489"/>
      <c r="BN29" s="489"/>
      <c r="BO29" s="489"/>
      <c r="BP29" s="489"/>
      <c r="BQ29" s="489"/>
      <c r="BR29" s="489"/>
      <c r="BS29" s="489"/>
      <c r="BT29" s="489"/>
      <c r="BU29" s="489"/>
      <c r="BV29" s="489"/>
      <c r="BW29" s="489"/>
      <c r="BX29" s="489"/>
      <c r="BY29" s="489"/>
      <c r="BZ29" s="489"/>
      <c r="CA29" s="489"/>
      <c r="CB29" s="489"/>
      <c r="CC29" s="489"/>
      <c r="CD29" s="489"/>
      <c r="CE29" s="489"/>
      <c r="CF29" s="489"/>
      <c r="CG29" s="489"/>
      <c r="CH29" s="489"/>
      <c r="CI29" s="489"/>
      <c r="CJ29" s="489"/>
      <c r="CK29" s="489"/>
      <c r="CL29" s="489"/>
      <c r="CM29" s="489"/>
      <c r="CN29" s="489"/>
      <c r="CO29" s="489"/>
      <c r="CP29" s="489"/>
      <c r="CQ29" s="489"/>
      <c r="CR29" s="489"/>
      <c r="CS29" s="489"/>
      <c r="CT29" s="489"/>
      <c r="CU29" s="489"/>
      <c r="CV29" s="489"/>
      <c r="CW29" s="489"/>
      <c r="CX29" s="489"/>
      <c r="CY29" s="489"/>
      <c r="CZ29" s="489"/>
      <c r="DA29" s="489"/>
      <c r="DB29" s="489"/>
      <c r="DC29" s="489"/>
      <c r="DD29" s="489"/>
      <c r="DE29" s="489"/>
      <c r="DF29" s="489"/>
      <c r="DG29" s="489"/>
      <c r="DH29" s="489"/>
    </row>
    <row r="30" spans="1:113" s="380" customFormat="1" ht="17.25" customHeight="1">
      <c r="A30" s="95" t="s">
        <v>343</v>
      </c>
      <c r="B30" s="479" t="s">
        <v>41</v>
      </c>
      <c r="C30" s="51" t="s">
        <v>30</v>
      </c>
      <c r="D30" s="309">
        <f t="shared" si="6"/>
        <v>11084.43</v>
      </c>
      <c r="E30" s="298">
        <f t="shared" si="0"/>
        <v>45.9</v>
      </c>
      <c r="F30" s="309">
        <f t="shared" si="7"/>
        <v>16044.61</v>
      </c>
      <c r="G30" s="306">
        <f t="shared" si="1"/>
        <v>66.44</v>
      </c>
      <c r="H30" s="298">
        <v>9423.64</v>
      </c>
      <c r="I30" s="298">
        <f t="shared" si="2"/>
        <v>45.9</v>
      </c>
      <c r="J30" s="255">
        <f>$J$67</f>
        <v>1.2884</v>
      </c>
      <c r="K30" s="298">
        <f>AI67</f>
        <v>13640.63</v>
      </c>
      <c r="L30" s="306">
        <f t="shared" si="3"/>
        <v>66.44</v>
      </c>
      <c r="M30" s="298">
        <v>1250.5</v>
      </c>
      <c r="N30" s="298">
        <f t="shared" si="4"/>
        <v>45.9</v>
      </c>
      <c r="O30" s="255">
        <f>$O$67</f>
        <v>1.2884</v>
      </c>
      <c r="P30" s="298">
        <f>AJ67</f>
        <v>1810.09</v>
      </c>
      <c r="Q30" s="306">
        <f t="shared" si="8"/>
        <v>66.44</v>
      </c>
      <c r="R30" s="298">
        <v>410.29</v>
      </c>
      <c r="S30" s="298">
        <f t="shared" si="5"/>
        <v>45.9</v>
      </c>
      <c r="T30" s="255">
        <f>$T$67</f>
        <v>1.2884</v>
      </c>
      <c r="U30" s="298">
        <f>AK67</f>
        <v>593.89</v>
      </c>
      <c r="V30" s="306">
        <f t="shared" si="9"/>
        <v>66.44</v>
      </c>
      <c r="W30" s="308"/>
      <c r="X30" s="308"/>
      <c r="Y30" s="162">
        <v>1270.24</v>
      </c>
      <c r="Z30" s="74">
        <v>20.72</v>
      </c>
      <c r="AA30" s="75">
        <v>1081.18</v>
      </c>
      <c r="AB30" s="74">
        <v>20.72</v>
      </c>
      <c r="AC30" s="75">
        <v>149.91999999999999</v>
      </c>
      <c r="AD30" s="74">
        <v>20.72</v>
      </c>
      <c r="AE30" s="75">
        <v>39.14</v>
      </c>
      <c r="AF30" s="74">
        <v>20.72</v>
      </c>
      <c r="AG30" s="503">
        <v>1092.22</v>
      </c>
      <c r="AH30" s="504">
        <f t="shared" ref="AH30:AJ33" si="15">$AG30/$AG$28*AH$28</f>
        <v>928.57166828183495</v>
      </c>
      <c r="AI30" s="504">
        <f t="shared" si="15"/>
        <v>123.219815510145</v>
      </c>
      <c r="AJ30" s="504">
        <f t="shared" si="15"/>
        <v>40.428516208019801</v>
      </c>
      <c r="AK30" s="504" t="s">
        <v>250</v>
      </c>
      <c r="AL30" s="500"/>
      <c r="AM30" s="215" t="s">
        <v>304</v>
      </c>
      <c r="AN30" s="215" t="s">
        <v>305</v>
      </c>
      <c r="AO30" s="1095"/>
      <c r="AP30" s="1095"/>
      <c r="AQ30" s="1095"/>
      <c r="AR30" s="1095"/>
      <c r="AS30" s="1095"/>
      <c r="AT30" s="1095"/>
    </row>
    <row r="31" spans="1:113" s="380" customFormat="1" ht="21" customHeight="1">
      <c r="A31" s="95" t="s">
        <v>344</v>
      </c>
      <c r="B31" s="479" t="s">
        <v>45</v>
      </c>
      <c r="C31" s="15"/>
      <c r="D31" s="309">
        <f>H31+M31+R31</f>
        <v>4107.8900000000003</v>
      </c>
      <c r="E31" s="298">
        <f t="shared" si="0"/>
        <v>17.010000000000002</v>
      </c>
      <c r="F31" s="309">
        <f>K31+P31+U31</f>
        <v>3529.82</v>
      </c>
      <c r="G31" s="306">
        <f t="shared" si="1"/>
        <v>14.62</v>
      </c>
      <c r="H31" s="298">
        <v>3492.4</v>
      </c>
      <c r="I31" s="298">
        <f t="shared" si="2"/>
        <v>17.010000000000002</v>
      </c>
      <c r="J31" s="255">
        <f>$J$67</f>
        <v>1.2884</v>
      </c>
      <c r="K31" s="298">
        <f>AI68</f>
        <v>3000.94</v>
      </c>
      <c r="L31" s="306">
        <f t="shared" si="3"/>
        <v>14.62</v>
      </c>
      <c r="M31" s="298">
        <v>463.44</v>
      </c>
      <c r="N31" s="298">
        <f t="shared" si="4"/>
        <v>17.010000000000002</v>
      </c>
      <c r="O31" s="255">
        <f>$O$67</f>
        <v>1.2884</v>
      </c>
      <c r="P31" s="298">
        <f>AJ68</f>
        <v>398.22</v>
      </c>
      <c r="Q31" s="306">
        <f t="shared" si="8"/>
        <v>14.62</v>
      </c>
      <c r="R31" s="298">
        <v>152.05000000000001</v>
      </c>
      <c r="S31" s="298">
        <f t="shared" si="5"/>
        <v>17.010000000000002</v>
      </c>
      <c r="T31" s="255">
        <f>$T$67</f>
        <v>1.2884</v>
      </c>
      <c r="U31" s="298">
        <f>AK68</f>
        <v>130.66</v>
      </c>
      <c r="V31" s="306">
        <f t="shared" si="9"/>
        <v>14.62</v>
      </c>
      <c r="W31" s="308"/>
      <c r="X31" s="308"/>
      <c r="Y31" s="162"/>
      <c r="Z31" s="74"/>
      <c r="AA31" s="75"/>
      <c r="AB31" s="74"/>
      <c r="AC31" s="75"/>
      <c r="AD31" s="74"/>
      <c r="AE31" s="75"/>
      <c r="AF31" s="74"/>
      <c r="AG31" s="503"/>
      <c r="AH31" s="504"/>
      <c r="AI31" s="504"/>
      <c r="AJ31" s="504"/>
      <c r="AK31" s="504"/>
      <c r="AL31" s="500"/>
      <c r="AM31" s="215"/>
      <c r="AN31" s="215"/>
      <c r="AO31" s="215"/>
      <c r="AP31" s="215"/>
      <c r="AQ31" s="215"/>
      <c r="AR31" s="215"/>
      <c r="AS31" s="215"/>
      <c r="AT31" s="215"/>
    </row>
    <row r="32" spans="1:113" s="380" customFormat="1" ht="19.5" customHeight="1">
      <c r="A32" s="477" t="s">
        <v>42</v>
      </c>
      <c r="B32" s="222" t="s">
        <v>43</v>
      </c>
      <c r="C32" s="15"/>
      <c r="D32" s="297">
        <f t="shared" si="6"/>
        <v>1397.34</v>
      </c>
      <c r="E32" s="296">
        <f t="shared" si="0"/>
        <v>5.79</v>
      </c>
      <c r="F32" s="297">
        <f t="shared" si="7"/>
        <v>1397.34</v>
      </c>
      <c r="G32" s="305">
        <f t="shared" si="1"/>
        <v>5.79</v>
      </c>
      <c r="H32" s="296">
        <f>SUM(H33:H34)</f>
        <v>1187.98</v>
      </c>
      <c r="I32" s="296">
        <f t="shared" si="2"/>
        <v>5.79</v>
      </c>
      <c r="J32" s="219">
        <f>IF(H32=0,0,K32/H32)</f>
        <v>1</v>
      </c>
      <c r="K32" s="296">
        <f>SUM(K33:K34)</f>
        <v>1187.98</v>
      </c>
      <c r="L32" s="305">
        <f t="shared" si="3"/>
        <v>5.79</v>
      </c>
      <c r="M32" s="296">
        <f>SUM(M33:M34)</f>
        <v>157.63999999999999</v>
      </c>
      <c r="N32" s="296">
        <f t="shared" si="4"/>
        <v>5.79</v>
      </c>
      <c r="O32" s="219">
        <f>IF(M32=0,0,P32/M32)</f>
        <v>1</v>
      </c>
      <c r="P32" s="296">
        <f>SUM(P33:P34)</f>
        <v>157.63999999999999</v>
      </c>
      <c r="Q32" s="305">
        <f t="shared" si="8"/>
        <v>5.79</v>
      </c>
      <c r="R32" s="296">
        <f>SUM(R33:R34)</f>
        <v>51.72</v>
      </c>
      <c r="S32" s="296">
        <f t="shared" si="5"/>
        <v>5.79</v>
      </c>
      <c r="T32" s="219">
        <f>U32/R32</f>
        <v>1</v>
      </c>
      <c r="U32" s="296">
        <f>SUM(U33:U34)</f>
        <v>51.72</v>
      </c>
      <c r="V32" s="305">
        <f t="shared" si="9"/>
        <v>5.79</v>
      </c>
      <c r="W32" s="308"/>
      <c r="X32" s="308"/>
      <c r="Y32" s="162">
        <v>1176.43</v>
      </c>
      <c r="Z32" s="74">
        <v>19.190000000000001</v>
      </c>
      <c r="AA32" s="75">
        <v>1001.34</v>
      </c>
      <c r="AB32" s="74">
        <v>19.190000000000001</v>
      </c>
      <c r="AC32" s="75">
        <v>138.85</v>
      </c>
      <c r="AD32" s="74">
        <v>19.190000000000001</v>
      </c>
      <c r="AE32" s="75">
        <v>36.25</v>
      </c>
      <c r="AF32" s="74">
        <v>19.190000000000001</v>
      </c>
      <c r="AG32" s="501">
        <v>9714.65</v>
      </c>
      <c r="AH32" s="504">
        <f t="shared" si="15"/>
        <v>8259.0950149916007</v>
      </c>
      <c r="AI32" s="504">
        <f t="shared" si="15"/>
        <v>1095.9672783373601</v>
      </c>
      <c r="AJ32" s="504">
        <f t="shared" si="15"/>
        <v>359.58770667103602</v>
      </c>
      <c r="AK32" s="419" t="s">
        <v>251</v>
      </c>
      <c r="AL32" s="505" t="s">
        <v>318</v>
      </c>
      <c r="AM32" s="506">
        <f>H19</f>
        <v>928.57</v>
      </c>
      <c r="AN32" s="507">
        <v>75.11</v>
      </c>
      <c r="AO32" s="508">
        <v>1002.75</v>
      </c>
      <c r="AP32" s="508">
        <v>81.11</v>
      </c>
      <c r="AQ32" s="509">
        <f>AQ34/AM34*AM32</f>
        <v>1771.82549557569</v>
      </c>
      <c r="AR32" s="510">
        <f>AQ32/AM32*AN32</f>
        <v>143.32</v>
      </c>
      <c r="AS32" s="509"/>
      <c r="AT32" s="510"/>
    </row>
    <row r="33" spans="1:112" s="491" customFormat="1" ht="21.75" customHeight="1">
      <c r="A33" s="95" t="s">
        <v>46</v>
      </c>
      <c r="B33" s="223" t="s">
        <v>47</v>
      </c>
      <c r="C33" s="51" t="s">
        <v>30</v>
      </c>
      <c r="D33" s="309">
        <f t="shared" si="6"/>
        <v>1014.85</v>
      </c>
      <c r="E33" s="298">
        <f t="shared" si="0"/>
        <v>4.2</v>
      </c>
      <c r="F33" s="309">
        <f t="shared" si="7"/>
        <v>1014.85</v>
      </c>
      <c r="G33" s="306">
        <f t="shared" si="1"/>
        <v>4.2</v>
      </c>
      <c r="H33" s="298">
        <v>862.8</v>
      </c>
      <c r="I33" s="298">
        <f t="shared" si="2"/>
        <v>4.2</v>
      </c>
      <c r="J33" s="255">
        <f t="shared" si="12"/>
        <v>1</v>
      </c>
      <c r="K33" s="298">
        <f t="shared" si="11"/>
        <v>862.8</v>
      </c>
      <c r="L33" s="306">
        <f t="shared" si="3"/>
        <v>4.2</v>
      </c>
      <c r="M33" s="298">
        <v>114.49</v>
      </c>
      <c r="N33" s="298">
        <f t="shared" si="4"/>
        <v>4.2</v>
      </c>
      <c r="O33" s="255">
        <f t="shared" si="13"/>
        <v>1</v>
      </c>
      <c r="P33" s="298">
        <f t="shared" si="10"/>
        <v>114.49</v>
      </c>
      <c r="Q33" s="306">
        <f t="shared" si="8"/>
        <v>4.2</v>
      </c>
      <c r="R33" s="298">
        <v>37.56</v>
      </c>
      <c r="S33" s="298">
        <f t="shared" si="5"/>
        <v>4.2</v>
      </c>
      <c r="T33" s="255">
        <f t="shared" si="14"/>
        <v>1</v>
      </c>
      <c r="U33" s="298">
        <f>R33*T33</f>
        <v>37.56</v>
      </c>
      <c r="V33" s="306">
        <f t="shared" si="9"/>
        <v>4.2</v>
      </c>
      <c r="W33" s="400"/>
      <c r="X33" s="400"/>
      <c r="Y33" s="161">
        <v>470.75</v>
      </c>
      <c r="Z33" s="77">
        <v>7.68</v>
      </c>
      <c r="AA33" s="76">
        <v>400.69</v>
      </c>
      <c r="AB33" s="77">
        <v>7.68</v>
      </c>
      <c r="AC33" s="76">
        <v>55.56</v>
      </c>
      <c r="AD33" s="72">
        <v>7.68</v>
      </c>
      <c r="AE33" s="76">
        <v>14.5</v>
      </c>
      <c r="AF33" s="72">
        <v>7.68</v>
      </c>
      <c r="AG33" s="501">
        <v>386.35</v>
      </c>
      <c r="AH33" s="504">
        <f t="shared" si="15"/>
        <v>328.46282254553802</v>
      </c>
      <c r="AI33" s="504">
        <f t="shared" si="15"/>
        <v>43.586434713102399</v>
      </c>
      <c r="AJ33" s="504">
        <f t="shared" si="15"/>
        <v>14.3007427413602</v>
      </c>
      <c r="AK33" s="419" t="s">
        <v>252</v>
      </c>
      <c r="AL33" s="505" t="s">
        <v>319</v>
      </c>
      <c r="AM33" s="506">
        <f>H20</f>
        <v>8587.5499999999993</v>
      </c>
      <c r="AN33" s="507">
        <v>95.61</v>
      </c>
      <c r="AO33" s="508">
        <v>9272.8700000000008</v>
      </c>
      <c r="AP33" s="508">
        <v>103.24</v>
      </c>
      <c r="AQ33" s="484">
        <f>AQ34/AM34*AM33</f>
        <v>16386.0990927243</v>
      </c>
      <c r="AR33" s="511">
        <f>AQ33/AM33*AN33</f>
        <v>182.44</v>
      </c>
      <c r="AS33" s="484"/>
      <c r="AT33" s="511"/>
      <c r="AU33" s="489"/>
      <c r="AV33" s="489"/>
      <c r="AW33" s="489"/>
      <c r="AX33" s="489"/>
      <c r="AY33" s="489"/>
      <c r="AZ33" s="489"/>
      <c r="BA33" s="489"/>
      <c r="BB33" s="489"/>
      <c r="BC33" s="489"/>
      <c r="BD33" s="489"/>
      <c r="BE33" s="489"/>
      <c r="BF33" s="489"/>
      <c r="BG33" s="489"/>
      <c r="BH33" s="489"/>
      <c r="BI33" s="489"/>
      <c r="BJ33" s="489"/>
      <c r="BK33" s="489"/>
      <c r="BL33" s="489"/>
      <c r="BM33" s="489"/>
      <c r="BN33" s="489"/>
      <c r="BO33" s="489"/>
      <c r="BP33" s="489"/>
      <c r="BQ33" s="489"/>
      <c r="BR33" s="489"/>
      <c r="BS33" s="489"/>
      <c r="BT33" s="489"/>
      <c r="BU33" s="489"/>
      <c r="BV33" s="489"/>
      <c r="BW33" s="489"/>
      <c r="BX33" s="489"/>
      <c r="BY33" s="489"/>
      <c r="BZ33" s="489"/>
      <c r="CA33" s="489"/>
      <c r="CB33" s="489"/>
      <c r="CC33" s="489"/>
      <c r="CD33" s="489"/>
      <c r="CE33" s="489"/>
      <c r="CF33" s="489"/>
      <c r="CG33" s="489"/>
      <c r="CH33" s="489"/>
      <c r="CI33" s="489"/>
      <c r="CJ33" s="489"/>
      <c r="CK33" s="489"/>
      <c r="CL33" s="489"/>
      <c r="CM33" s="489"/>
      <c r="CN33" s="489"/>
      <c r="CO33" s="489"/>
      <c r="CP33" s="489"/>
      <c r="CQ33" s="489"/>
      <c r="CR33" s="489"/>
      <c r="CS33" s="489"/>
      <c r="CT33" s="489"/>
      <c r="CU33" s="489"/>
      <c r="CV33" s="489"/>
      <c r="CW33" s="489"/>
      <c r="CX33" s="489"/>
      <c r="CY33" s="489"/>
      <c r="CZ33" s="489"/>
      <c r="DA33" s="489"/>
      <c r="DB33" s="489"/>
      <c r="DC33" s="489"/>
      <c r="DD33" s="489"/>
      <c r="DE33" s="489"/>
      <c r="DF33" s="489"/>
      <c r="DG33" s="489"/>
      <c r="DH33" s="489"/>
    </row>
    <row r="34" spans="1:112" s="491" customFormat="1" ht="17.100000000000001" customHeight="1">
      <c r="A34" s="95" t="s">
        <v>48</v>
      </c>
      <c r="B34" s="223" t="s">
        <v>49</v>
      </c>
      <c r="C34" s="51" t="s">
        <v>30</v>
      </c>
      <c r="D34" s="309">
        <f t="shared" si="6"/>
        <v>382.49</v>
      </c>
      <c r="E34" s="298">
        <f t="shared" si="0"/>
        <v>1.58</v>
      </c>
      <c r="F34" s="309">
        <f t="shared" si="7"/>
        <v>382.49</v>
      </c>
      <c r="G34" s="306">
        <f t="shared" si="1"/>
        <v>1.58</v>
      </c>
      <c r="H34" s="298">
        <v>325.18</v>
      </c>
      <c r="I34" s="298">
        <f t="shared" si="2"/>
        <v>1.58</v>
      </c>
      <c r="J34" s="255">
        <f t="shared" si="12"/>
        <v>1</v>
      </c>
      <c r="K34" s="298">
        <f t="shared" si="11"/>
        <v>325.18</v>
      </c>
      <c r="L34" s="306">
        <f t="shared" si="3"/>
        <v>1.58</v>
      </c>
      <c r="M34" s="298">
        <v>43.15</v>
      </c>
      <c r="N34" s="298">
        <f t="shared" si="4"/>
        <v>1.58</v>
      </c>
      <c r="O34" s="255">
        <f t="shared" si="13"/>
        <v>1</v>
      </c>
      <c r="P34" s="298">
        <f t="shared" si="10"/>
        <v>43.15</v>
      </c>
      <c r="Q34" s="306">
        <f t="shared" si="8"/>
        <v>1.58</v>
      </c>
      <c r="R34" s="298">
        <v>14.16</v>
      </c>
      <c r="S34" s="298">
        <f t="shared" si="5"/>
        <v>1.58</v>
      </c>
      <c r="T34" s="255">
        <f t="shared" si="14"/>
        <v>1</v>
      </c>
      <c r="U34" s="298">
        <f>R34*T34</f>
        <v>14.16</v>
      </c>
      <c r="V34" s="306">
        <f t="shared" si="9"/>
        <v>1.58</v>
      </c>
      <c r="W34" s="400"/>
      <c r="X34" s="400"/>
      <c r="Y34" s="161">
        <v>455.67</v>
      </c>
      <c r="Z34" s="77">
        <v>7.43</v>
      </c>
      <c r="AA34" s="76">
        <v>387.85</v>
      </c>
      <c r="AB34" s="77">
        <v>7.43</v>
      </c>
      <c r="AC34" s="76">
        <v>53.78</v>
      </c>
      <c r="AD34" s="72">
        <v>7.43</v>
      </c>
      <c r="AE34" s="76">
        <v>14.04</v>
      </c>
      <c r="AF34" s="72">
        <v>7.43</v>
      </c>
      <c r="AG34" s="501">
        <f>SUM(AG32:AG33)</f>
        <v>10101</v>
      </c>
      <c r="AH34" s="501">
        <f>SUM(AH32:AH33)</f>
        <v>8587.56</v>
      </c>
      <c r="AI34" s="501">
        <f>SUM(AI32:AI33)</f>
        <v>1139.55</v>
      </c>
      <c r="AJ34" s="501">
        <f>SUM(AJ32:AJ33)</f>
        <v>373.89</v>
      </c>
      <c r="AK34" s="419" t="s">
        <v>253</v>
      </c>
      <c r="AL34" s="512" t="s">
        <v>306</v>
      </c>
      <c r="AM34" s="513">
        <f>AM32+AM33</f>
        <v>9516.1200000000008</v>
      </c>
      <c r="AN34" s="513"/>
      <c r="AO34" s="514">
        <f>AO32+AO33</f>
        <v>10275.620000000001</v>
      </c>
      <c r="AP34" s="514"/>
      <c r="AQ34" s="515">
        <v>18157.9245883</v>
      </c>
      <c r="AR34" s="511"/>
      <c r="AS34" s="515"/>
      <c r="AT34" s="511"/>
      <c r="AU34" s="489"/>
      <c r="AV34" s="489"/>
      <c r="AW34" s="489"/>
      <c r="AX34" s="489"/>
      <c r="AY34" s="489"/>
      <c r="AZ34" s="489"/>
      <c r="BA34" s="489"/>
      <c r="BB34" s="489"/>
      <c r="BC34" s="489"/>
      <c r="BD34" s="489"/>
      <c r="BE34" s="489"/>
      <c r="BF34" s="489"/>
      <c r="BG34" s="489"/>
      <c r="BH34" s="489"/>
      <c r="BI34" s="489"/>
      <c r="BJ34" s="489"/>
      <c r="BK34" s="489"/>
      <c r="BL34" s="489"/>
      <c r="BM34" s="489"/>
      <c r="BN34" s="489"/>
      <c r="BO34" s="489"/>
      <c r="BP34" s="489"/>
      <c r="BQ34" s="489"/>
      <c r="BR34" s="489"/>
      <c r="BS34" s="489"/>
      <c r="BT34" s="489"/>
      <c r="BU34" s="489"/>
      <c r="BV34" s="489"/>
      <c r="BW34" s="489"/>
      <c r="BX34" s="489"/>
      <c r="BY34" s="489"/>
      <c r="BZ34" s="489"/>
      <c r="CA34" s="489"/>
      <c r="CB34" s="489"/>
      <c r="CC34" s="489"/>
      <c r="CD34" s="489"/>
      <c r="CE34" s="489"/>
      <c r="CF34" s="489"/>
      <c r="CG34" s="489"/>
      <c r="CH34" s="489"/>
      <c r="CI34" s="489"/>
      <c r="CJ34" s="489"/>
      <c r="CK34" s="489"/>
      <c r="CL34" s="489"/>
      <c r="CM34" s="489"/>
      <c r="CN34" s="489"/>
      <c r="CO34" s="489"/>
      <c r="CP34" s="489"/>
      <c r="CQ34" s="489"/>
      <c r="CR34" s="489"/>
      <c r="CS34" s="489"/>
      <c r="CT34" s="489"/>
      <c r="CU34" s="489"/>
      <c r="CV34" s="489"/>
      <c r="CW34" s="489"/>
      <c r="CX34" s="489"/>
      <c r="CY34" s="489"/>
      <c r="CZ34" s="489"/>
      <c r="DA34" s="489"/>
      <c r="DB34" s="489"/>
      <c r="DC34" s="489"/>
      <c r="DD34" s="489"/>
      <c r="DE34" s="489"/>
      <c r="DF34" s="489"/>
      <c r="DG34" s="489"/>
      <c r="DH34" s="489"/>
    </row>
    <row r="35" spans="1:112" s="491" customFormat="1" ht="17.100000000000001" customHeight="1">
      <c r="A35" s="313" t="s">
        <v>50</v>
      </c>
      <c r="B35" s="314" t="s">
        <v>51</v>
      </c>
      <c r="C35" s="481" t="s">
        <v>30</v>
      </c>
      <c r="D35" s="312">
        <f t="shared" si="6"/>
        <v>232.62</v>
      </c>
      <c r="E35" s="305">
        <f t="shared" si="0"/>
        <v>0.96</v>
      </c>
      <c r="F35" s="312">
        <f t="shared" si="7"/>
        <v>291.79000000000002</v>
      </c>
      <c r="G35" s="305">
        <f t="shared" si="1"/>
        <v>1.21</v>
      </c>
      <c r="H35" s="305">
        <f>SUM(H37:H39)</f>
        <v>197.77</v>
      </c>
      <c r="I35" s="305">
        <f t="shared" si="2"/>
        <v>0.96</v>
      </c>
      <c r="J35" s="316">
        <f>IF(H35=0,0,K35/H35)</f>
        <v>1.2543</v>
      </c>
      <c r="K35" s="305">
        <f>SUM(K37:K39)</f>
        <v>248.07</v>
      </c>
      <c r="L35" s="305">
        <f t="shared" si="3"/>
        <v>1.21</v>
      </c>
      <c r="M35" s="305">
        <f>SUM(M37:M39)</f>
        <v>26.24</v>
      </c>
      <c r="N35" s="305">
        <f t="shared" si="4"/>
        <v>0.96</v>
      </c>
      <c r="O35" s="316">
        <f>IF(M35=0,0,P35/M35)</f>
        <v>1.2545999999999999</v>
      </c>
      <c r="P35" s="305">
        <f>SUM(P37:P39)</f>
        <v>32.92</v>
      </c>
      <c r="Q35" s="305">
        <f t="shared" si="8"/>
        <v>1.21</v>
      </c>
      <c r="R35" s="305">
        <f>SUM(R37:R39)</f>
        <v>8.61</v>
      </c>
      <c r="S35" s="305">
        <f t="shared" si="5"/>
        <v>0.96</v>
      </c>
      <c r="T35" s="316">
        <f>U35/R35</f>
        <v>1.2544</v>
      </c>
      <c r="U35" s="305">
        <f>SUM(U37:U39)</f>
        <v>10.8</v>
      </c>
      <c r="V35" s="305">
        <f t="shared" si="9"/>
        <v>1.21</v>
      </c>
      <c r="W35" s="308"/>
      <c r="X35" s="400"/>
      <c r="Y35" s="161">
        <v>250.01</v>
      </c>
      <c r="Z35" s="77">
        <v>4.08</v>
      </c>
      <c r="AA35" s="76">
        <v>212.8</v>
      </c>
      <c r="AB35" s="77">
        <v>4.08</v>
      </c>
      <c r="AC35" s="76">
        <v>29.51</v>
      </c>
      <c r="AD35" s="72">
        <v>4.08</v>
      </c>
      <c r="AE35" s="76">
        <v>7.7</v>
      </c>
      <c r="AF35" s="72">
        <v>4.08</v>
      </c>
      <c r="AG35" s="503"/>
      <c r="AH35" s="503">
        <f>AH34+AH30</f>
        <v>9516.1299999999992</v>
      </c>
      <c r="AI35" s="503">
        <f>AI34+AI30</f>
        <v>1262.77</v>
      </c>
      <c r="AJ35" s="503">
        <f>AJ34+AJ30</f>
        <v>414.32</v>
      </c>
      <c r="AK35" s="504" t="s">
        <v>254</v>
      </c>
      <c r="AQ35" s="491">
        <f>AQ34/AM34</f>
        <v>1.90812270003951</v>
      </c>
      <c r="AS35" s="489"/>
      <c r="AT35" s="489"/>
      <c r="AU35" s="489"/>
      <c r="AV35" s="489"/>
      <c r="AW35" s="489"/>
      <c r="AX35" s="489"/>
      <c r="AY35" s="489"/>
      <c r="AZ35" s="489"/>
      <c r="BA35" s="489"/>
      <c r="BB35" s="489"/>
      <c r="BC35" s="489"/>
      <c r="BD35" s="489"/>
      <c r="BE35" s="489"/>
      <c r="BF35" s="489"/>
      <c r="BG35" s="489"/>
      <c r="BH35" s="489"/>
      <c r="BI35" s="489"/>
      <c r="BJ35" s="489"/>
      <c r="BK35" s="489"/>
      <c r="BL35" s="489"/>
      <c r="BM35" s="489"/>
      <c r="BN35" s="489"/>
      <c r="BO35" s="489"/>
      <c r="BP35" s="489"/>
      <c r="BQ35" s="489"/>
      <c r="BR35" s="489"/>
      <c r="BS35" s="489"/>
      <c r="BT35" s="489"/>
      <c r="BU35" s="489"/>
      <c r="BV35" s="489"/>
      <c r="BW35" s="489"/>
      <c r="BX35" s="489"/>
      <c r="BY35" s="489"/>
      <c r="BZ35" s="489"/>
      <c r="CA35" s="489"/>
      <c r="CB35" s="489"/>
      <c r="CC35" s="489"/>
      <c r="CD35" s="489"/>
      <c r="CE35" s="489"/>
      <c r="CF35" s="489"/>
      <c r="CG35" s="489"/>
      <c r="CH35" s="489"/>
      <c r="CI35" s="489"/>
      <c r="CJ35" s="489"/>
      <c r="CK35" s="489"/>
      <c r="CL35" s="489"/>
      <c r="CM35" s="489"/>
      <c r="CN35" s="489"/>
      <c r="CO35" s="489"/>
      <c r="CP35" s="489"/>
      <c r="CQ35" s="489"/>
      <c r="CR35" s="489"/>
      <c r="CS35" s="489"/>
      <c r="CT35" s="489"/>
      <c r="CU35" s="489"/>
      <c r="CV35" s="489"/>
      <c r="CW35" s="489"/>
      <c r="CX35" s="489"/>
      <c r="CY35" s="489"/>
      <c r="CZ35" s="489"/>
      <c r="DA35" s="489"/>
      <c r="DB35" s="489"/>
      <c r="DC35" s="489"/>
      <c r="DD35" s="489"/>
      <c r="DE35" s="489"/>
      <c r="DF35" s="489"/>
      <c r="DG35" s="489"/>
      <c r="DH35" s="489"/>
    </row>
    <row r="36" spans="1:112" s="491" customFormat="1" ht="17.100000000000001" customHeight="1">
      <c r="A36" s="95" t="s">
        <v>52</v>
      </c>
      <c r="B36" s="223" t="s">
        <v>345</v>
      </c>
      <c r="C36" s="15"/>
      <c r="D36" s="309">
        <f>H36+M36+R36</f>
        <v>205.13</v>
      </c>
      <c r="E36" s="298">
        <f t="shared" si="0"/>
        <v>0.85</v>
      </c>
      <c r="F36" s="309">
        <f>K36+P36+U36</f>
        <v>264.3</v>
      </c>
      <c r="G36" s="306">
        <f t="shared" si="1"/>
        <v>1.0900000000000001</v>
      </c>
      <c r="H36" s="298">
        <f>H37+H38</f>
        <v>174.4</v>
      </c>
      <c r="I36" s="298">
        <f t="shared" si="2"/>
        <v>0.85</v>
      </c>
      <c r="J36" s="255">
        <f>$J$67</f>
        <v>1.2884</v>
      </c>
      <c r="K36" s="298">
        <f>K37+K38</f>
        <v>224.7</v>
      </c>
      <c r="L36" s="306">
        <f t="shared" si="3"/>
        <v>1.0900000000000001</v>
      </c>
      <c r="M36" s="298">
        <f>M37+M38</f>
        <v>23.14</v>
      </c>
      <c r="N36" s="298">
        <f t="shared" si="4"/>
        <v>0.85</v>
      </c>
      <c r="O36" s="219">
        <f>$O$67</f>
        <v>1.2884</v>
      </c>
      <c r="P36" s="298">
        <f>P37+P38</f>
        <v>29.82</v>
      </c>
      <c r="Q36" s="306">
        <f t="shared" si="8"/>
        <v>1.0900000000000001</v>
      </c>
      <c r="R36" s="298">
        <f>R37+R38</f>
        <v>7.59</v>
      </c>
      <c r="S36" s="298">
        <f t="shared" si="5"/>
        <v>0.85</v>
      </c>
      <c r="T36" s="255">
        <f>$T$67</f>
        <v>1.2884</v>
      </c>
      <c r="U36" s="298">
        <f>U37+U38</f>
        <v>9.7799999999999994</v>
      </c>
      <c r="V36" s="306">
        <f t="shared" si="9"/>
        <v>1.0900000000000001</v>
      </c>
      <c r="W36" s="300"/>
      <c r="X36" s="476"/>
      <c r="Y36" s="161"/>
      <c r="Z36" s="77"/>
      <c r="AA36" s="76"/>
      <c r="AB36" s="77"/>
      <c r="AC36" s="76"/>
      <c r="AD36" s="72"/>
      <c r="AE36" s="76"/>
      <c r="AF36" s="72"/>
      <c r="AG36" s="516"/>
      <c r="AH36" s="516"/>
      <c r="AI36" s="516"/>
      <c r="AJ36" s="517"/>
      <c r="AK36" s="518"/>
      <c r="AS36" s="489">
        <f>AQ34/AM34</f>
        <v>1.90812270003951</v>
      </c>
      <c r="AT36" s="489"/>
      <c r="AU36" s="489"/>
      <c r="AV36" s="489"/>
      <c r="AW36" s="489"/>
      <c r="AX36" s="489"/>
      <c r="AY36" s="489"/>
      <c r="AZ36" s="489"/>
      <c r="BA36" s="489"/>
      <c r="BB36" s="489"/>
      <c r="BC36" s="489"/>
      <c r="BD36" s="489"/>
      <c r="BE36" s="489"/>
      <c r="BF36" s="489"/>
      <c r="BG36" s="489"/>
      <c r="BH36" s="489"/>
      <c r="BI36" s="489"/>
      <c r="BJ36" s="489"/>
      <c r="BK36" s="489"/>
      <c r="BL36" s="489"/>
      <c r="BM36" s="489"/>
      <c r="BN36" s="489"/>
      <c r="BO36" s="489"/>
      <c r="BP36" s="489"/>
      <c r="BQ36" s="489"/>
      <c r="BR36" s="489"/>
      <c r="BS36" s="489"/>
      <c r="BT36" s="489"/>
      <c r="BU36" s="489"/>
      <c r="BV36" s="489"/>
      <c r="BW36" s="489"/>
      <c r="BX36" s="489"/>
      <c r="BY36" s="489"/>
      <c r="BZ36" s="489"/>
      <c r="CA36" s="489"/>
      <c r="CB36" s="489"/>
      <c r="CC36" s="489"/>
      <c r="CD36" s="489"/>
      <c r="CE36" s="489"/>
      <c r="CF36" s="489"/>
      <c r="CG36" s="489"/>
      <c r="CH36" s="489"/>
      <c r="CI36" s="489"/>
      <c r="CJ36" s="489"/>
      <c r="CK36" s="489"/>
      <c r="CL36" s="489"/>
      <c r="CM36" s="489"/>
      <c r="CN36" s="489"/>
      <c r="CO36" s="489"/>
      <c r="CP36" s="489"/>
      <c r="CQ36" s="489"/>
      <c r="CR36" s="489"/>
      <c r="CS36" s="489"/>
      <c r="CT36" s="489"/>
      <c r="CU36" s="489"/>
      <c r="CV36" s="489"/>
      <c r="CW36" s="489"/>
      <c r="CX36" s="489"/>
      <c r="CY36" s="489"/>
      <c r="CZ36" s="489"/>
      <c r="DA36" s="489"/>
      <c r="DB36" s="489"/>
      <c r="DC36" s="489"/>
      <c r="DD36" s="489"/>
      <c r="DE36" s="489"/>
      <c r="DF36" s="489"/>
      <c r="DG36" s="489"/>
      <c r="DH36" s="489"/>
    </row>
    <row r="37" spans="1:112" s="380" customFormat="1" ht="18" customHeight="1" thickBot="1">
      <c r="A37" s="95" t="s">
        <v>346</v>
      </c>
      <c r="B37" s="479" t="s">
        <v>53</v>
      </c>
      <c r="C37" s="51" t="s">
        <v>30</v>
      </c>
      <c r="D37" s="309">
        <f t="shared" si="6"/>
        <v>149.66</v>
      </c>
      <c r="E37" s="298">
        <f t="shared" si="0"/>
        <v>0.62</v>
      </c>
      <c r="F37" s="309">
        <f t="shared" si="7"/>
        <v>216.64</v>
      </c>
      <c r="G37" s="306">
        <f t="shared" si="1"/>
        <v>0.9</v>
      </c>
      <c r="H37" s="298">
        <v>127.24</v>
      </c>
      <c r="I37" s="298">
        <f t="shared" si="2"/>
        <v>0.62</v>
      </c>
      <c r="J37" s="255">
        <f>$J$67</f>
        <v>1.2884</v>
      </c>
      <c r="K37" s="298">
        <f>AI70</f>
        <v>184.18</v>
      </c>
      <c r="L37" s="306">
        <f t="shared" si="3"/>
        <v>0.9</v>
      </c>
      <c r="M37" s="298">
        <v>16.88</v>
      </c>
      <c r="N37" s="298">
        <f t="shared" si="4"/>
        <v>0.62</v>
      </c>
      <c r="O37" s="219">
        <f>$O$67</f>
        <v>1.2884</v>
      </c>
      <c r="P37" s="298">
        <f>AJ70</f>
        <v>24.44</v>
      </c>
      <c r="Q37" s="306">
        <f t="shared" si="8"/>
        <v>0.9</v>
      </c>
      <c r="R37" s="298">
        <v>5.54</v>
      </c>
      <c r="S37" s="298">
        <f t="shared" si="5"/>
        <v>0.62</v>
      </c>
      <c r="T37" s="255">
        <f>$T$67</f>
        <v>1.2884</v>
      </c>
      <c r="U37" s="298">
        <f>AK70</f>
        <v>8.02</v>
      </c>
      <c r="V37" s="306">
        <f t="shared" si="9"/>
        <v>0.9</v>
      </c>
      <c r="W37" s="400"/>
      <c r="X37" s="308"/>
      <c r="Y37" s="162">
        <v>0</v>
      </c>
      <c r="Z37" s="74">
        <v>0</v>
      </c>
      <c r="AA37" s="75">
        <v>0</v>
      </c>
      <c r="AB37" s="74">
        <v>0</v>
      </c>
      <c r="AC37" s="75">
        <v>0</v>
      </c>
      <c r="AD37" s="74">
        <v>0</v>
      </c>
      <c r="AE37" s="75">
        <v>0</v>
      </c>
      <c r="AF37" s="74">
        <v>0</v>
      </c>
      <c r="AJ37" s="425"/>
      <c r="AK37" s="425"/>
    </row>
    <row r="38" spans="1:112" s="491" customFormat="1" ht="17.100000000000001" customHeight="1">
      <c r="A38" s="95" t="s">
        <v>347</v>
      </c>
      <c r="B38" s="479" t="s">
        <v>45</v>
      </c>
      <c r="C38" s="51" t="s">
        <v>30</v>
      </c>
      <c r="D38" s="309">
        <f t="shared" si="6"/>
        <v>55.47</v>
      </c>
      <c r="E38" s="298">
        <f t="shared" si="0"/>
        <v>0.23</v>
      </c>
      <c r="F38" s="309">
        <f t="shared" si="7"/>
        <v>47.66</v>
      </c>
      <c r="G38" s="306">
        <f t="shared" si="1"/>
        <v>0.2</v>
      </c>
      <c r="H38" s="298">
        <v>47.16</v>
      </c>
      <c r="I38" s="298">
        <f t="shared" si="2"/>
        <v>0.23</v>
      </c>
      <c r="J38" s="255">
        <f>$J$67</f>
        <v>1.2884</v>
      </c>
      <c r="K38" s="298">
        <f>AI71</f>
        <v>40.520000000000003</v>
      </c>
      <c r="L38" s="306">
        <f t="shared" si="3"/>
        <v>0.2</v>
      </c>
      <c r="M38" s="298">
        <v>6.26</v>
      </c>
      <c r="N38" s="298">
        <f t="shared" si="4"/>
        <v>0.23</v>
      </c>
      <c r="O38" s="219">
        <f>$O$67</f>
        <v>1.2884</v>
      </c>
      <c r="P38" s="298">
        <f>AJ71</f>
        <v>5.38</v>
      </c>
      <c r="Q38" s="306">
        <f t="shared" si="8"/>
        <v>0.2</v>
      </c>
      <c r="R38" s="298">
        <v>2.0499999999999998</v>
      </c>
      <c r="S38" s="298">
        <f t="shared" si="5"/>
        <v>0.23</v>
      </c>
      <c r="T38" s="255">
        <f>$T$67</f>
        <v>1.2884</v>
      </c>
      <c r="U38" s="298">
        <f>AK71</f>
        <v>1.76</v>
      </c>
      <c r="V38" s="306">
        <f t="shared" si="9"/>
        <v>0.2</v>
      </c>
      <c r="W38" s="400"/>
      <c r="X38" s="400"/>
      <c r="Y38" s="161">
        <v>0</v>
      </c>
      <c r="Z38" s="77">
        <v>0</v>
      </c>
      <c r="AA38" s="71">
        <v>0</v>
      </c>
      <c r="AB38" s="77">
        <v>0</v>
      </c>
      <c r="AC38" s="71">
        <v>0</v>
      </c>
      <c r="AD38" s="72">
        <v>0</v>
      </c>
      <c r="AE38" s="71">
        <v>0</v>
      </c>
      <c r="AF38" s="72">
        <v>0</v>
      </c>
      <c r="AH38" s="1108" t="s">
        <v>366</v>
      </c>
      <c r="AI38" s="1109"/>
      <c r="AJ38" s="1117" t="s">
        <v>383</v>
      </c>
      <c r="AK38" s="1112" t="s">
        <v>384</v>
      </c>
      <c r="AL38" s="1108" t="s">
        <v>366</v>
      </c>
      <c r="AM38" s="1109"/>
      <c r="AN38" s="1117" t="s">
        <v>383</v>
      </c>
      <c r="AO38" s="1112" t="s">
        <v>384</v>
      </c>
      <c r="AS38" s="489"/>
      <c r="AT38" s="489"/>
      <c r="AU38" s="489"/>
      <c r="AV38" s="489"/>
      <c r="AW38" s="489"/>
      <c r="AX38" s="489"/>
      <c r="AY38" s="489"/>
      <c r="AZ38" s="489"/>
      <c r="BA38" s="489"/>
      <c r="BB38" s="489"/>
      <c r="BC38" s="489"/>
      <c r="BD38" s="489"/>
      <c r="BE38" s="489"/>
      <c r="BF38" s="489"/>
      <c r="BG38" s="489"/>
      <c r="BH38" s="489"/>
      <c r="BI38" s="489"/>
      <c r="BJ38" s="489"/>
      <c r="BK38" s="489"/>
      <c r="BL38" s="489"/>
      <c r="BM38" s="489"/>
      <c r="BN38" s="489"/>
      <c r="BO38" s="489"/>
      <c r="BP38" s="489"/>
      <c r="BQ38" s="489"/>
      <c r="BR38" s="489"/>
      <c r="BS38" s="489"/>
      <c r="BT38" s="489"/>
      <c r="BU38" s="489"/>
      <c r="BV38" s="489"/>
      <c r="BW38" s="489"/>
      <c r="BX38" s="489"/>
      <c r="BY38" s="489"/>
      <c r="BZ38" s="489"/>
      <c r="CA38" s="489"/>
      <c r="CB38" s="489"/>
      <c r="CC38" s="489"/>
      <c r="CD38" s="489"/>
      <c r="CE38" s="489"/>
      <c r="CF38" s="489"/>
      <c r="CG38" s="489"/>
      <c r="CH38" s="489"/>
      <c r="CI38" s="489"/>
      <c r="CJ38" s="489"/>
      <c r="CK38" s="489"/>
      <c r="CL38" s="489"/>
      <c r="CM38" s="489"/>
      <c r="CN38" s="489"/>
      <c r="CO38" s="489"/>
      <c r="CP38" s="489"/>
      <c r="CQ38" s="489"/>
      <c r="CR38" s="489"/>
      <c r="CS38" s="489"/>
      <c r="CT38" s="489"/>
      <c r="CU38" s="489"/>
      <c r="CV38" s="489"/>
      <c r="CW38" s="489"/>
      <c r="CX38" s="489"/>
      <c r="CY38" s="489"/>
      <c r="CZ38" s="489"/>
      <c r="DA38" s="489"/>
      <c r="DB38" s="489"/>
      <c r="DC38" s="489"/>
      <c r="DD38" s="489"/>
      <c r="DE38" s="489"/>
      <c r="DF38" s="489"/>
      <c r="DG38" s="489"/>
      <c r="DH38" s="489"/>
    </row>
    <row r="39" spans="1:112" s="491" customFormat="1" ht="17.100000000000001" customHeight="1">
      <c r="A39" s="95" t="s">
        <v>54</v>
      </c>
      <c r="B39" s="223" t="s">
        <v>56</v>
      </c>
      <c r="C39" s="51" t="s">
        <v>30</v>
      </c>
      <c r="D39" s="309">
        <f t="shared" si="6"/>
        <v>27.49</v>
      </c>
      <c r="E39" s="298">
        <f t="shared" si="0"/>
        <v>0.11</v>
      </c>
      <c r="F39" s="309">
        <f t="shared" si="7"/>
        <v>27.49</v>
      </c>
      <c r="G39" s="306">
        <f t="shared" si="1"/>
        <v>0.11</v>
      </c>
      <c r="H39" s="298">
        <v>23.37</v>
      </c>
      <c r="I39" s="298">
        <f t="shared" si="2"/>
        <v>0.11</v>
      </c>
      <c r="J39" s="255">
        <f t="shared" si="12"/>
        <v>1</v>
      </c>
      <c r="K39" s="298">
        <f t="shared" si="11"/>
        <v>23.37</v>
      </c>
      <c r="L39" s="306">
        <f t="shared" si="3"/>
        <v>0.11</v>
      </c>
      <c r="M39" s="298">
        <v>3.1</v>
      </c>
      <c r="N39" s="298">
        <f t="shared" si="4"/>
        <v>0.11</v>
      </c>
      <c r="O39" s="255">
        <f t="shared" si="13"/>
        <v>1</v>
      </c>
      <c r="P39" s="298">
        <f t="shared" si="10"/>
        <v>3.1</v>
      </c>
      <c r="Q39" s="306">
        <f t="shared" si="8"/>
        <v>0.11</v>
      </c>
      <c r="R39" s="298">
        <v>1.02</v>
      </c>
      <c r="S39" s="298">
        <f t="shared" si="5"/>
        <v>0.11</v>
      </c>
      <c r="T39" s="255">
        <f t="shared" si="14"/>
        <v>1</v>
      </c>
      <c r="U39" s="298">
        <f>R39*T39</f>
        <v>1.02</v>
      </c>
      <c r="V39" s="306">
        <f t="shared" si="9"/>
        <v>0.11</v>
      </c>
      <c r="W39" s="400"/>
      <c r="X39" s="400"/>
      <c r="Y39" s="161">
        <v>0</v>
      </c>
      <c r="Z39" s="77">
        <v>0</v>
      </c>
      <c r="AA39" s="71">
        <v>0</v>
      </c>
      <c r="AB39" s="77">
        <v>0</v>
      </c>
      <c r="AC39" s="71">
        <v>0</v>
      </c>
      <c r="AD39" s="72">
        <v>0</v>
      </c>
      <c r="AE39" s="71">
        <v>0</v>
      </c>
      <c r="AF39" s="72">
        <v>0</v>
      </c>
      <c r="AH39" s="1110"/>
      <c r="AI39" s="1111"/>
      <c r="AJ39" s="1102"/>
      <c r="AK39" s="1113"/>
      <c r="AL39" s="1110"/>
      <c r="AM39" s="1111"/>
      <c r="AN39" s="1102"/>
      <c r="AO39" s="1113"/>
      <c r="AS39" s="489"/>
      <c r="AT39" s="489"/>
      <c r="AU39" s="489"/>
      <c r="AV39" s="489"/>
      <c r="AW39" s="489"/>
      <c r="AX39" s="489"/>
      <c r="AY39" s="489"/>
      <c r="AZ39" s="489"/>
      <c r="BA39" s="489"/>
      <c r="BB39" s="489"/>
      <c r="BC39" s="489"/>
      <c r="BD39" s="489"/>
      <c r="BE39" s="489"/>
      <c r="BF39" s="489"/>
      <c r="BG39" s="489"/>
      <c r="BH39" s="489"/>
      <c r="BI39" s="489"/>
      <c r="BJ39" s="489"/>
      <c r="BK39" s="489"/>
      <c r="BL39" s="489"/>
      <c r="BM39" s="489"/>
      <c r="BN39" s="489"/>
      <c r="BO39" s="489"/>
      <c r="BP39" s="489"/>
      <c r="BQ39" s="489"/>
      <c r="BR39" s="489"/>
      <c r="BS39" s="489"/>
      <c r="BT39" s="489"/>
      <c r="BU39" s="489"/>
      <c r="BV39" s="489"/>
      <c r="BW39" s="489"/>
      <c r="BX39" s="489"/>
      <c r="BY39" s="489"/>
      <c r="BZ39" s="489"/>
      <c r="CA39" s="489"/>
      <c r="CB39" s="489"/>
      <c r="CC39" s="489"/>
      <c r="CD39" s="489"/>
      <c r="CE39" s="489"/>
      <c r="CF39" s="489"/>
      <c r="CG39" s="489"/>
      <c r="CH39" s="489"/>
      <c r="CI39" s="489"/>
      <c r="CJ39" s="489"/>
      <c r="CK39" s="489"/>
      <c r="CL39" s="489"/>
      <c r="CM39" s="489"/>
      <c r="CN39" s="489"/>
      <c r="CO39" s="489"/>
      <c r="CP39" s="489"/>
      <c r="CQ39" s="489"/>
      <c r="CR39" s="489"/>
      <c r="CS39" s="489"/>
      <c r="CT39" s="489"/>
      <c r="CU39" s="489"/>
      <c r="CV39" s="489"/>
      <c r="CW39" s="489"/>
      <c r="CX39" s="489"/>
      <c r="CY39" s="489"/>
      <c r="CZ39" s="489"/>
      <c r="DA39" s="489"/>
      <c r="DB39" s="489"/>
      <c r="DC39" s="489"/>
      <c r="DD39" s="489"/>
      <c r="DE39" s="489"/>
      <c r="DF39" s="489"/>
      <c r="DG39" s="489"/>
      <c r="DH39" s="489"/>
    </row>
    <row r="40" spans="1:112" s="491" customFormat="1" ht="17.100000000000001" customHeight="1">
      <c r="A40" s="313" t="s">
        <v>57</v>
      </c>
      <c r="B40" s="314" t="s">
        <v>58</v>
      </c>
      <c r="C40" s="481" t="s">
        <v>30</v>
      </c>
      <c r="D40" s="312">
        <f t="shared" si="6"/>
        <v>2751.4</v>
      </c>
      <c r="E40" s="305">
        <f t="shared" ref="E40:E59" si="16">D40/$D$61*1000</f>
        <v>11.39</v>
      </c>
      <c r="F40" s="312">
        <f t="shared" si="7"/>
        <v>3434.14</v>
      </c>
      <c r="G40" s="305">
        <f t="shared" ref="G40:G59" si="17">F40/$F$61*1000</f>
        <v>14.22</v>
      </c>
      <c r="H40" s="305">
        <f>SUM(H42:H44)</f>
        <v>2339.16</v>
      </c>
      <c r="I40" s="305">
        <f t="shared" ref="I40:I58" si="18">H40/$H$61*1000</f>
        <v>11.39</v>
      </c>
      <c r="J40" s="316">
        <f>IF(H40=0,0,K40/H40)</f>
        <v>1.2481</v>
      </c>
      <c r="K40" s="305">
        <f>SUM(K42:K44)</f>
        <v>2919.6</v>
      </c>
      <c r="L40" s="305">
        <f t="shared" ref="L40:L58" si="19">K40/$K$61*1000</f>
        <v>14.22</v>
      </c>
      <c r="M40" s="305">
        <f>SUM(M42:M44)</f>
        <v>310.39999999999998</v>
      </c>
      <c r="N40" s="305">
        <f t="shared" ref="N40:N58" si="20">M40/$M$61*1000</f>
        <v>11.39</v>
      </c>
      <c r="O40" s="316">
        <f>IF(M40=0,0,P40/M40)</f>
        <v>1.2481</v>
      </c>
      <c r="P40" s="305">
        <f>SUM(P42:P44)</f>
        <v>387.42</v>
      </c>
      <c r="Q40" s="305">
        <f t="shared" si="8"/>
        <v>14.22</v>
      </c>
      <c r="R40" s="305">
        <f>SUM(R42:R44)</f>
        <v>101.84</v>
      </c>
      <c r="S40" s="305">
        <f t="shared" ref="S40:S58" si="21">R40/$R$61*1000</f>
        <v>11.39</v>
      </c>
      <c r="T40" s="316">
        <f>U40/R40</f>
        <v>1.2482</v>
      </c>
      <c r="U40" s="305">
        <f>SUM(U42:U44)</f>
        <v>127.12</v>
      </c>
      <c r="V40" s="305">
        <f t="shared" si="9"/>
        <v>14.22</v>
      </c>
      <c r="W40" s="308"/>
      <c r="X40" s="400"/>
      <c r="Y40" s="161">
        <v>0</v>
      </c>
      <c r="Z40" s="77">
        <v>0</v>
      </c>
      <c r="AA40" s="71">
        <v>0</v>
      </c>
      <c r="AB40" s="77">
        <v>0</v>
      </c>
      <c r="AC40" s="71">
        <v>0</v>
      </c>
      <c r="AD40" s="72">
        <v>0</v>
      </c>
      <c r="AE40" s="71">
        <v>0</v>
      </c>
      <c r="AF40" s="72">
        <v>0</v>
      </c>
      <c r="AH40" s="619" t="s">
        <v>304</v>
      </c>
      <c r="AI40" s="215" t="s">
        <v>305</v>
      </c>
      <c r="AJ40" s="1103"/>
      <c r="AK40" s="1114"/>
      <c r="AL40" s="619" t="s">
        <v>304</v>
      </c>
      <c r="AM40" s="215" t="s">
        <v>305</v>
      </c>
      <c r="AN40" s="1103"/>
      <c r="AO40" s="1114"/>
      <c r="AP40" s="489"/>
      <c r="AQ40" s="489"/>
      <c r="AR40" s="489"/>
      <c r="AS40" s="489"/>
      <c r="AT40" s="489"/>
      <c r="AU40" s="489"/>
      <c r="AV40" s="489"/>
      <c r="AW40" s="489"/>
      <c r="AX40" s="489"/>
      <c r="AY40" s="489"/>
      <c r="AZ40" s="489"/>
      <c r="BA40" s="489"/>
      <c r="BB40" s="489"/>
      <c r="BC40" s="489"/>
      <c r="BD40" s="489"/>
      <c r="BE40" s="489"/>
      <c r="BF40" s="489"/>
      <c r="BG40" s="489"/>
      <c r="BH40" s="489"/>
      <c r="BI40" s="489"/>
      <c r="BJ40" s="489"/>
      <c r="BK40" s="489"/>
      <c r="BL40" s="489"/>
      <c r="BM40" s="489"/>
      <c r="BN40" s="489"/>
      <c r="BO40" s="489"/>
      <c r="BP40" s="489"/>
      <c r="BQ40" s="489"/>
      <c r="BR40" s="489"/>
      <c r="BS40" s="489"/>
      <c r="BT40" s="489"/>
      <c r="BU40" s="489"/>
      <c r="BV40" s="489"/>
      <c r="BW40" s="489"/>
      <c r="BX40" s="489"/>
      <c r="BY40" s="489"/>
      <c r="BZ40" s="489"/>
      <c r="CA40" s="489"/>
      <c r="CB40" s="489"/>
      <c r="CC40" s="489"/>
      <c r="CD40" s="489"/>
      <c r="CE40" s="489"/>
      <c r="CF40" s="489"/>
      <c r="CG40" s="489"/>
      <c r="CH40" s="489"/>
      <c r="CI40" s="489"/>
      <c r="CJ40" s="489"/>
      <c r="CK40" s="489"/>
      <c r="CL40" s="489"/>
      <c r="CM40" s="489"/>
      <c r="CN40" s="489"/>
      <c r="CO40" s="489"/>
      <c r="CP40" s="489"/>
      <c r="CQ40" s="489"/>
      <c r="CR40" s="489"/>
      <c r="CS40" s="489"/>
      <c r="CT40" s="489"/>
      <c r="CU40" s="489"/>
      <c r="CV40" s="489"/>
      <c r="CW40" s="489"/>
      <c r="CX40" s="489"/>
      <c r="CY40" s="489"/>
      <c r="CZ40" s="489"/>
      <c r="DA40" s="489"/>
      <c r="DB40" s="489"/>
      <c r="DC40" s="489"/>
      <c r="DD40" s="489"/>
      <c r="DE40" s="489"/>
      <c r="DF40" s="489"/>
      <c r="DG40" s="489"/>
      <c r="DH40" s="489"/>
    </row>
    <row r="41" spans="1:112" s="380" customFormat="1" ht="39" customHeight="1">
      <c r="A41" s="95" t="s">
        <v>59</v>
      </c>
      <c r="B41" s="257" t="s">
        <v>345</v>
      </c>
      <c r="C41" s="15"/>
      <c r="D41" s="298">
        <f>H41+M41+R41</f>
        <v>2366.94</v>
      </c>
      <c r="E41" s="298">
        <f t="shared" si="16"/>
        <v>9.8000000000000007</v>
      </c>
      <c r="F41" s="298">
        <f>K41+P41+U41</f>
        <v>3049.68</v>
      </c>
      <c r="G41" s="306">
        <f t="shared" si="17"/>
        <v>12.63</v>
      </c>
      <c r="H41" s="298">
        <f>H42+H43</f>
        <v>2012.3</v>
      </c>
      <c r="I41" s="298">
        <f t="shared" si="18"/>
        <v>9.8000000000000007</v>
      </c>
      <c r="J41" s="255">
        <f>$J$67</f>
        <v>1.2884</v>
      </c>
      <c r="K41" s="298">
        <f>K42+K43</f>
        <v>2592.7399999999998</v>
      </c>
      <c r="L41" s="306">
        <f t="shared" si="19"/>
        <v>12.63</v>
      </c>
      <c r="M41" s="298">
        <f>M42+M43</f>
        <v>267.02999999999997</v>
      </c>
      <c r="N41" s="298">
        <f t="shared" si="20"/>
        <v>9.8000000000000007</v>
      </c>
      <c r="O41" s="219">
        <f>$O$67</f>
        <v>1.2884</v>
      </c>
      <c r="P41" s="298">
        <f>P42+P43</f>
        <v>344.05</v>
      </c>
      <c r="Q41" s="306">
        <f t="shared" si="8"/>
        <v>12.63</v>
      </c>
      <c r="R41" s="298">
        <f>R42+R43</f>
        <v>87.61</v>
      </c>
      <c r="S41" s="298">
        <f t="shared" si="21"/>
        <v>9.8000000000000007</v>
      </c>
      <c r="T41" s="255">
        <f>$T$67</f>
        <v>1.2884</v>
      </c>
      <c r="U41" s="298">
        <f>U42+U43</f>
        <v>112.89</v>
      </c>
      <c r="V41" s="306">
        <f t="shared" si="9"/>
        <v>12.63</v>
      </c>
      <c r="W41" s="300"/>
      <c r="X41" s="308"/>
      <c r="Y41" s="162">
        <v>936.23</v>
      </c>
      <c r="Z41" s="74">
        <v>15.27</v>
      </c>
      <c r="AA41" s="75">
        <v>796.89</v>
      </c>
      <c r="AB41" s="74">
        <v>15.27</v>
      </c>
      <c r="AC41" s="75">
        <v>110.5</v>
      </c>
      <c r="AD41" s="74">
        <v>15.27</v>
      </c>
      <c r="AE41" s="75">
        <v>28.85</v>
      </c>
      <c r="AF41" s="74">
        <v>15.27</v>
      </c>
      <c r="AH41" s="1105" t="s">
        <v>309</v>
      </c>
      <c r="AI41" s="1106"/>
      <c r="AJ41" s="1106"/>
      <c r="AK41" s="1107"/>
      <c r="AL41" s="1123" t="s">
        <v>321</v>
      </c>
      <c r="AM41" s="1124"/>
      <c r="AN41" s="1124"/>
      <c r="AO41" s="1125"/>
    </row>
    <row r="42" spans="1:112" s="491" customFormat="1" ht="17.100000000000001" customHeight="1">
      <c r="A42" s="95" t="s">
        <v>348</v>
      </c>
      <c r="B42" s="580" t="s">
        <v>53</v>
      </c>
      <c r="C42" s="51" t="s">
        <v>30</v>
      </c>
      <c r="D42" s="298">
        <f t="shared" si="6"/>
        <v>1726.94</v>
      </c>
      <c r="E42" s="298">
        <f t="shared" si="16"/>
        <v>7.15</v>
      </c>
      <c r="F42" s="298">
        <f t="shared" si="7"/>
        <v>2499.7399999999998</v>
      </c>
      <c r="G42" s="306">
        <f t="shared" si="17"/>
        <v>10.35</v>
      </c>
      <c r="H42" s="298">
        <v>1468.19</v>
      </c>
      <c r="I42" s="298">
        <f t="shared" si="18"/>
        <v>7.15</v>
      </c>
      <c r="J42" s="255">
        <f>$J$67</f>
        <v>1.2884</v>
      </c>
      <c r="K42" s="298">
        <f>AI73</f>
        <v>2125.1999999999998</v>
      </c>
      <c r="L42" s="306">
        <f t="shared" si="19"/>
        <v>10.35</v>
      </c>
      <c r="M42" s="298">
        <v>194.83</v>
      </c>
      <c r="N42" s="298">
        <f t="shared" si="20"/>
        <v>7.15</v>
      </c>
      <c r="O42" s="219">
        <f>$O$67</f>
        <v>1.2884</v>
      </c>
      <c r="P42" s="298">
        <f>AJ73</f>
        <v>282.01</v>
      </c>
      <c r="Q42" s="306">
        <f t="shared" si="8"/>
        <v>10.35</v>
      </c>
      <c r="R42" s="298">
        <v>63.92</v>
      </c>
      <c r="S42" s="298">
        <f t="shared" si="21"/>
        <v>7.15</v>
      </c>
      <c r="T42" s="255">
        <f>$T$67</f>
        <v>1.2884</v>
      </c>
      <c r="U42" s="298">
        <f>AK73</f>
        <v>92.53</v>
      </c>
      <c r="V42" s="306">
        <f t="shared" si="9"/>
        <v>10.35</v>
      </c>
      <c r="W42" s="400"/>
      <c r="X42" s="400"/>
      <c r="Y42" s="161">
        <v>577.83000000000004</v>
      </c>
      <c r="Z42" s="77">
        <v>9.43</v>
      </c>
      <c r="AA42" s="71">
        <v>491.83</v>
      </c>
      <c r="AB42" s="77">
        <v>9.43</v>
      </c>
      <c r="AC42" s="71">
        <v>68.2</v>
      </c>
      <c r="AD42" s="72">
        <v>9.43</v>
      </c>
      <c r="AE42" s="71">
        <v>17.8</v>
      </c>
      <c r="AF42" s="261">
        <v>9.43</v>
      </c>
      <c r="AG42" s="505" t="s">
        <v>367</v>
      </c>
      <c r="AH42" s="620">
        <f>M19</f>
        <v>123.22</v>
      </c>
      <c r="AI42" s="507">
        <v>75.11</v>
      </c>
      <c r="AJ42" s="519">
        <f>AH42*AJ49</f>
        <v>247.31940187520999</v>
      </c>
      <c r="AK42" s="621">
        <f>AI42*AJ49</f>
        <v>150.76</v>
      </c>
      <c r="AL42" s="627">
        <f>R19</f>
        <v>40.43</v>
      </c>
      <c r="AM42" s="519">
        <v>75.11</v>
      </c>
      <c r="AN42" s="484">
        <f>AL42*AN49</f>
        <v>81.147739681574706</v>
      </c>
      <c r="AO42" s="622">
        <f>AM42*AN49</f>
        <v>150.75</v>
      </c>
      <c r="AP42" s="489"/>
      <c r="AQ42" s="489"/>
      <c r="AR42" s="489"/>
      <c r="AS42" s="489"/>
      <c r="AT42" s="489"/>
      <c r="AU42" s="489"/>
      <c r="AV42" s="489"/>
      <c r="AW42" s="489"/>
      <c r="AX42" s="489"/>
      <c r="AY42" s="489"/>
      <c r="AZ42" s="489"/>
      <c r="BA42" s="489"/>
      <c r="BB42" s="489"/>
      <c r="BC42" s="489"/>
      <c r="BD42" s="489"/>
      <c r="BE42" s="489"/>
      <c r="BF42" s="489"/>
      <c r="BG42" s="489"/>
      <c r="BH42" s="489"/>
      <c r="BI42" s="489"/>
      <c r="BJ42" s="489"/>
      <c r="BK42" s="489"/>
      <c r="BL42" s="489"/>
      <c r="BM42" s="489"/>
      <c r="BN42" s="489"/>
      <c r="BO42" s="489"/>
      <c r="BP42" s="489"/>
      <c r="BQ42" s="489"/>
      <c r="BR42" s="489"/>
      <c r="BS42" s="489"/>
      <c r="BT42" s="489"/>
      <c r="BU42" s="489"/>
      <c r="BV42" s="489"/>
      <c r="BW42" s="489"/>
      <c r="BX42" s="489"/>
      <c r="BY42" s="489"/>
      <c r="BZ42" s="489"/>
      <c r="CA42" s="489"/>
      <c r="CB42" s="489"/>
      <c r="CC42" s="489"/>
      <c r="CD42" s="489"/>
      <c r="CE42" s="489"/>
      <c r="CF42" s="489"/>
      <c r="CG42" s="489"/>
      <c r="CH42" s="489"/>
      <c r="CI42" s="489"/>
      <c r="CJ42" s="489"/>
      <c r="CK42" s="489"/>
      <c r="CL42" s="489"/>
      <c r="CM42" s="489"/>
      <c r="CN42" s="489"/>
      <c r="CO42" s="489"/>
      <c r="CP42" s="489"/>
      <c r="CQ42" s="489"/>
      <c r="CR42" s="489"/>
      <c r="CS42" s="489"/>
      <c r="CT42" s="489"/>
      <c r="CU42" s="489"/>
      <c r="CV42" s="489"/>
      <c r="CW42" s="489"/>
      <c r="CX42" s="489"/>
      <c r="CY42" s="489"/>
      <c r="CZ42" s="489"/>
      <c r="DA42" s="489"/>
      <c r="DB42" s="489"/>
      <c r="DC42" s="489"/>
      <c r="DD42" s="489"/>
      <c r="DE42" s="489"/>
      <c r="DF42" s="489"/>
      <c r="DG42" s="489"/>
      <c r="DH42" s="489"/>
    </row>
    <row r="43" spans="1:112" s="491" customFormat="1" ht="17.100000000000001" customHeight="1">
      <c r="A43" s="95" t="s">
        <v>349</v>
      </c>
      <c r="B43" s="580" t="s">
        <v>45</v>
      </c>
      <c r="C43" s="51" t="s">
        <v>30</v>
      </c>
      <c r="D43" s="298">
        <f t="shared" si="6"/>
        <v>640</v>
      </c>
      <c r="E43" s="298">
        <f t="shared" si="16"/>
        <v>2.65</v>
      </c>
      <c r="F43" s="298">
        <f t="shared" si="7"/>
        <v>549.94000000000005</v>
      </c>
      <c r="G43" s="306">
        <f t="shared" si="17"/>
        <v>2.2799999999999998</v>
      </c>
      <c r="H43" s="298">
        <v>544.11</v>
      </c>
      <c r="I43" s="298">
        <f t="shared" si="18"/>
        <v>2.65</v>
      </c>
      <c r="J43" s="255">
        <f>$J$67</f>
        <v>1.2884</v>
      </c>
      <c r="K43" s="298">
        <f>AI74</f>
        <v>467.54</v>
      </c>
      <c r="L43" s="306">
        <f t="shared" si="19"/>
        <v>2.2799999999999998</v>
      </c>
      <c r="M43" s="298">
        <v>72.2</v>
      </c>
      <c r="N43" s="298">
        <f t="shared" si="20"/>
        <v>2.65</v>
      </c>
      <c r="O43" s="219">
        <f>$O$67</f>
        <v>1.2884</v>
      </c>
      <c r="P43" s="298">
        <f>AJ74</f>
        <v>62.04</v>
      </c>
      <c r="Q43" s="306">
        <f t="shared" si="8"/>
        <v>2.2799999999999998</v>
      </c>
      <c r="R43" s="298">
        <v>23.69</v>
      </c>
      <c r="S43" s="298">
        <f t="shared" si="21"/>
        <v>2.65</v>
      </c>
      <c r="T43" s="255">
        <f>$T$67</f>
        <v>1.2884</v>
      </c>
      <c r="U43" s="298">
        <f>AK74</f>
        <v>20.36</v>
      </c>
      <c r="V43" s="306">
        <f t="shared" si="9"/>
        <v>2.2799999999999998</v>
      </c>
      <c r="W43" s="400"/>
      <c r="X43" s="400"/>
      <c r="Y43" s="161">
        <v>214.14</v>
      </c>
      <c r="Z43" s="77">
        <v>3.49</v>
      </c>
      <c r="AA43" s="71">
        <v>182.27</v>
      </c>
      <c r="AB43" s="77">
        <v>3.49</v>
      </c>
      <c r="AC43" s="71">
        <v>25.27</v>
      </c>
      <c r="AD43" s="72">
        <v>3.49</v>
      </c>
      <c r="AE43" s="71">
        <v>6.6</v>
      </c>
      <c r="AF43" s="261">
        <v>3.49</v>
      </c>
      <c r="AG43" s="505" t="s">
        <v>368</v>
      </c>
      <c r="AH43" s="620">
        <f>M20</f>
        <v>1139.55</v>
      </c>
      <c r="AI43" s="507">
        <v>95.61</v>
      </c>
      <c r="AJ43" s="484">
        <f>AH43*AJ49</f>
        <v>2287.2327901874301</v>
      </c>
      <c r="AK43" s="622">
        <f>AI43*AJ49</f>
        <v>191.9</v>
      </c>
      <c r="AL43" s="627">
        <f>R20</f>
        <v>373.89</v>
      </c>
      <c r="AM43" s="484">
        <v>95.61</v>
      </c>
      <c r="AN43" s="484">
        <f>AL43*AN49</f>
        <v>750.44096931842603</v>
      </c>
      <c r="AO43" s="622">
        <f>AM43*AN49</f>
        <v>191.9</v>
      </c>
      <c r="AP43" s="489"/>
      <c r="AQ43" s="489"/>
      <c r="AR43" s="489"/>
      <c r="AS43" s="489"/>
      <c r="AT43" s="489"/>
      <c r="AU43" s="489"/>
      <c r="AV43" s="489"/>
      <c r="AW43" s="489"/>
      <c r="AX43" s="489"/>
      <c r="AY43" s="489"/>
      <c r="AZ43" s="489"/>
      <c r="BA43" s="489"/>
      <c r="BB43" s="489"/>
      <c r="BC43" s="489"/>
      <c r="BD43" s="489"/>
      <c r="BE43" s="489"/>
      <c r="BF43" s="489"/>
      <c r="BG43" s="489"/>
      <c r="BH43" s="489"/>
      <c r="BI43" s="489"/>
      <c r="BJ43" s="489"/>
      <c r="BK43" s="489"/>
      <c r="BL43" s="489"/>
      <c r="BM43" s="489"/>
      <c r="BN43" s="489"/>
      <c r="BO43" s="489"/>
      <c r="BP43" s="489"/>
      <c r="BQ43" s="489"/>
      <c r="BR43" s="489"/>
      <c r="BS43" s="489"/>
      <c r="BT43" s="489"/>
      <c r="BU43" s="489"/>
      <c r="BV43" s="489"/>
      <c r="BW43" s="489"/>
      <c r="BX43" s="489"/>
      <c r="BY43" s="489"/>
      <c r="BZ43" s="489"/>
      <c r="CA43" s="489"/>
      <c r="CB43" s="489"/>
      <c r="CC43" s="489"/>
      <c r="CD43" s="489"/>
      <c r="CE43" s="489"/>
      <c r="CF43" s="489"/>
      <c r="CG43" s="489"/>
      <c r="CH43" s="489"/>
      <c r="CI43" s="489"/>
      <c r="CJ43" s="489"/>
      <c r="CK43" s="489"/>
      <c r="CL43" s="489"/>
      <c r="CM43" s="489"/>
      <c r="CN43" s="489"/>
      <c r="CO43" s="489"/>
      <c r="CP43" s="489"/>
      <c r="CQ43" s="489"/>
      <c r="CR43" s="489"/>
      <c r="CS43" s="489"/>
      <c r="CT43" s="489"/>
      <c r="CU43" s="489"/>
      <c r="CV43" s="489"/>
      <c r="CW43" s="489"/>
      <c r="CX43" s="489"/>
      <c r="CY43" s="489"/>
      <c r="CZ43" s="489"/>
      <c r="DA43" s="489"/>
      <c r="DB43" s="489"/>
      <c r="DC43" s="489"/>
      <c r="DD43" s="489"/>
      <c r="DE43" s="489"/>
      <c r="DF43" s="489"/>
      <c r="DG43" s="489"/>
      <c r="DH43" s="489"/>
    </row>
    <row r="44" spans="1:112" s="491" customFormat="1" ht="17.100000000000001" customHeight="1" thickBot="1">
      <c r="A44" s="95" t="s">
        <v>60</v>
      </c>
      <c r="B44" s="257" t="s">
        <v>56</v>
      </c>
      <c r="C44" s="51" t="s">
        <v>30</v>
      </c>
      <c r="D44" s="298">
        <f t="shared" si="6"/>
        <v>384.46</v>
      </c>
      <c r="E44" s="298">
        <f t="shared" si="16"/>
        <v>1.59</v>
      </c>
      <c r="F44" s="298">
        <f t="shared" si="7"/>
        <v>384.46</v>
      </c>
      <c r="G44" s="306">
        <f t="shared" si="17"/>
        <v>1.59</v>
      </c>
      <c r="H44" s="298">
        <v>326.86</v>
      </c>
      <c r="I44" s="298">
        <f t="shared" si="18"/>
        <v>1.59</v>
      </c>
      <c r="J44" s="255">
        <f t="shared" si="12"/>
        <v>1</v>
      </c>
      <c r="K44" s="298">
        <f t="shared" si="11"/>
        <v>326.86</v>
      </c>
      <c r="L44" s="306">
        <f t="shared" si="19"/>
        <v>1.59</v>
      </c>
      <c r="M44" s="298">
        <v>43.37</v>
      </c>
      <c r="N44" s="298">
        <f t="shared" si="20"/>
        <v>1.59</v>
      </c>
      <c r="O44" s="255">
        <f t="shared" si="13"/>
        <v>1</v>
      </c>
      <c r="P44" s="298">
        <f t="shared" si="10"/>
        <v>43.37</v>
      </c>
      <c r="Q44" s="306">
        <f t="shared" si="8"/>
        <v>1.59</v>
      </c>
      <c r="R44" s="298">
        <v>14.23</v>
      </c>
      <c r="S44" s="298">
        <f t="shared" si="21"/>
        <v>1.59</v>
      </c>
      <c r="T44" s="255">
        <f t="shared" si="14"/>
        <v>1</v>
      </c>
      <c r="U44" s="298">
        <f>R44*T44</f>
        <v>14.23</v>
      </c>
      <c r="V44" s="306">
        <f t="shared" si="9"/>
        <v>1.59</v>
      </c>
      <c r="W44" s="400"/>
      <c r="X44" s="400"/>
      <c r="Y44" s="161">
        <v>144.26</v>
      </c>
      <c r="Z44" s="77">
        <v>2.35</v>
      </c>
      <c r="AA44" s="71">
        <v>122.79</v>
      </c>
      <c r="AB44" s="77">
        <v>2.35</v>
      </c>
      <c r="AC44" s="71">
        <v>17.03</v>
      </c>
      <c r="AD44" s="72">
        <v>2.35</v>
      </c>
      <c r="AE44" s="71">
        <v>4.4400000000000004</v>
      </c>
      <c r="AF44" s="261">
        <v>2.35</v>
      </c>
      <c r="AG44" s="512" t="s">
        <v>369</v>
      </c>
      <c r="AH44" s="623">
        <f>AH42+AH43</f>
        <v>1262.77</v>
      </c>
      <c r="AI44" s="624"/>
      <c r="AJ44" s="625">
        <v>2534.5521920626402</v>
      </c>
      <c r="AK44" s="626"/>
      <c r="AL44" s="628">
        <f>AL42+AL43</f>
        <v>414.32</v>
      </c>
      <c r="AM44" s="625"/>
      <c r="AN44" s="629">
        <v>831.58870899999999</v>
      </c>
      <c r="AO44" s="626"/>
      <c r="AP44" s="489"/>
      <c r="AQ44" s="520">
        <f>AQ34+AJ44+AN44</f>
        <v>21524.0654894</v>
      </c>
      <c r="AR44" s="489"/>
      <c r="AS44" s="489"/>
      <c r="AT44" s="489"/>
      <c r="AU44" s="489"/>
      <c r="AV44" s="489"/>
      <c r="AW44" s="489"/>
      <c r="AX44" s="489"/>
      <c r="AY44" s="489"/>
      <c r="AZ44" s="489"/>
      <c r="BA44" s="489"/>
      <c r="BB44" s="489"/>
      <c r="BC44" s="489"/>
      <c r="BD44" s="489"/>
      <c r="BE44" s="489"/>
      <c r="BF44" s="489"/>
      <c r="BG44" s="489"/>
      <c r="BH44" s="489"/>
      <c r="BI44" s="489"/>
      <c r="BJ44" s="489"/>
      <c r="BK44" s="489"/>
      <c r="BL44" s="489"/>
      <c r="BM44" s="489"/>
      <c r="BN44" s="489"/>
      <c r="BO44" s="489"/>
      <c r="BP44" s="489"/>
      <c r="BQ44" s="489"/>
      <c r="BR44" s="489"/>
      <c r="BS44" s="489"/>
      <c r="BT44" s="489"/>
      <c r="BU44" s="489"/>
      <c r="BV44" s="489"/>
      <c r="BW44" s="489"/>
      <c r="BX44" s="489"/>
      <c r="BY44" s="489"/>
      <c r="BZ44" s="489"/>
      <c r="CA44" s="489"/>
      <c r="CB44" s="489"/>
      <c r="CC44" s="489"/>
      <c r="CD44" s="489"/>
      <c r="CE44" s="489"/>
      <c r="CF44" s="489"/>
      <c r="CG44" s="489"/>
      <c r="CH44" s="489"/>
      <c r="CI44" s="489"/>
      <c r="CJ44" s="489"/>
      <c r="CK44" s="489"/>
      <c r="CL44" s="489"/>
      <c r="CM44" s="489"/>
      <c r="CN44" s="489"/>
      <c r="CO44" s="489"/>
      <c r="CP44" s="489"/>
      <c r="CQ44" s="489"/>
      <c r="CR44" s="489"/>
      <c r="CS44" s="489"/>
      <c r="CT44" s="489"/>
      <c r="CU44" s="489"/>
      <c r="CV44" s="489"/>
      <c r="CW44" s="489"/>
      <c r="CX44" s="489"/>
      <c r="CY44" s="489"/>
      <c r="CZ44" s="489"/>
      <c r="DA44" s="489"/>
      <c r="DB44" s="489"/>
      <c r="DC44" s="489"/>
      <c r="DD44" s="489"/>
      <c r="DE44" s="489"/>
      <c r="DF44" s="489"/>
      <c r="DG44" s="489"/>
      <c r="DH44" s="489"/>
    </row>
    <row r="45" spans="1:112" s="380" customFormat="1" ht="16.5" hidden="1" customHeight="1">
      <c r="A45" s="252">
        <v>3</v>
      </c>
      <c r="B45" s="478" t="s">
        <v>202</v>
      </c>
      <c r="C45" s="15" t="s">
        <v>30</v>
      </c>
      <c r="D45" s="296">
        <f t="shared" si="6"/>
        <v>0</v>
      </c>
      <c r="E45" s="296">
        <f t="shared" si="16"/>
        <v>0</v>
      </c>
      <c r="F45" s="296">
        <f t="shared" si="7"/>
        <v>0</v>
      </c>
      <c r="G45" s="305">
        <f t="shared" si="17"/>
        <v>0</v>
      </c>
      <c r="H45" s="296">
        <f>SUM(H46:H48)</f>
        <v>0</v>
      </c>
      <c r="I45" s="296">
        <f t="shared" si="18"/>
        <v>0</v>
      </c>
      <c r="J45" s="219">
        <f t="shared" si="12"/>
        <v>0</v>
      </c>
      <c r="K45" s="296">
        <f>SUM(K46:K48)</f>
        <v>0</v>
      </c>
      <c r="L45" s="305">
        <f t="shared" si="19"/>
        <v>0</v>
      </c>
      <c r="M45" s="296">
        <f>SUM(M46:M48)</f>
        <v>0</v>
      </c>
      <c r="N45" s="296">
        <f t="shared" si="20"/>
        <v>0</v>
      </c>
      <c r="O45" s="219">
        <f t="shared" si="13"/>
        <v>0</v>
      </c>
      <c r="P45" s="296">
        <f>SUM(P46:P48)</f>
        <v>0</v>
      </c>
      <c r="Q45" s="305">
        <f t="shared" si="8"/>
        <v>0</v>
      </c>
      <c r="R45" s="296">
        <f>SUM(R46:R48)</f>
        <v>0</v>
      </c>
      <c r="S45" s="296">
        <f t="shared" si="21"/>
        <v>0</v>
      </c>
      <c r="T45" s="219">
        <f t="shared" si="14"/>
        <v>0</v>
      </c>
      <c r="U45" s="296">
        <f>SUM(U46:U48)</f>
        <v>0</v>
      </c>
      <c r="V45" s="305">
        <f t="shared" si="9"/>
        <v>0</v>
      </c>
      <c r="W45" s="308"/>
      <c r="X45" s="308"/>
      <c r="Y45" s="162">
        <v>0</v>
      </c>
      <c r="Z45" s="74">
        <v>0</v>
      </c>
      <c r="AA45" s="75">
        <v>0</v>
      </c>
      <c r="AB45" s="74">
        <v>0</v>
      </c>
      <c r="AC45" s="75">
        <v>0</v>
      </c>
      <c r="AD45" s="74">
        <v>0</v>
      </c>
      <c r="AE45" s="75">
        <v>0</v>
      </c>
      <c r="AF45" s="262">
        <v>0</v>
      </c>
      <c r="AG45" s="521" t="s">
        <v>322</v>
      </c>
    </row>
    <row r="46" spans="1:112" s="522" customFormat="1" ht="14.25" hidden="1" customHeight="1">
      <c r="A46" s="252" t="s">
        <v>62</v>
      </c>
      <c r="B46" s="478" t="s">
        <v>53</v>
      </c>
      <c r="C46" s="15" t="s">
        <v>30</v>
      </c>
      <c r="D46" s="296">
        <f t="shared" si="6"/>
        <v>0</v>
      </c>
      <c r="E46" s="296">
        <f t="shared" si="16"/>
        <v>0</v>
      </c>
      <c r="F46" s="296">
        <f t="shared" si="7"/>
        <v>0</v>
      </c>
      <c r="G46" s="305">
        <f t="shared" si="17"/>
        <v>0</v>
      </c>
      <c r="H46" s="296">
        <v>0</v>
      </c>
      <c r="I46" s="296">
        <f t="shared" si="18"/>
        <v>0</v>
      </c>
      <c r="J46" s="219">
        <f t="shared" si="12"/>
        <v>0</v>
      </c>
      <c r="K46" s="296">
        <v>0</v>
      </c>
      <c r="L46" s="305">
        <f t="shared" si="19"/>
        <v>0</v>
      </c>
      <c r="M46" s="296">
        <v>0</v>
      </c>
      <c r="N46" s="296">
        <f t="shared" si="20"/>
        <v>0</v>
      </c>
      <c r="O46" s="219">
        <f t="shared" si="13"/>
        <v>0</v>
      </c>
      <c r="P46" s="296">
        <v>0</v>
      </c>
      <c r="Q46" s="305">
        <f t="shared" si="8"/>
        <v>0</v>
      </c>
      <c r="R46" s="296">
        <v>0</v>
      </c>
      <c r="S46" s="296">
        <f t="shared" si="21"/>
        <v>0</v>
      </c>
      <c r="T46" s="219">
        <f t="shared" si="14"/>
        <v>0</v>
      </c>
      <c r="U46" s="296">
        <v>0</v>
      </c>
      <c r="V46" s="305">
        <f t="shared" si="9"/>
        <v>0</v>
      </c>
      <c r="W46" s="308"/>
      <c r="X46" s="308"/>
      <c r="Y46" s="162">
        <v>0</v>
      </c>
      <c r="Z46" s="74">
        <v>0</v>
      </c>
      <c r="AA46" s="69">
        <v>0</v>
      </c>
      <c r="AB46" s="74">
        <v>0</v>
      </c>
      <c r="AC46" s="69">
        <v>0</v>
      </c>
      <c r="AD46" s="70">
        <v>0</v>
      </c>
      <c r="AE46" s="69">
        <v>0</v>
      </c>
      <c r="AF46" s="70">
        <v>0</v>
      </c>
      <c r="AO46" s="523"/>
      <c r="AP46" s="523"/>
      <c r="AQ46" s="523"/>
      <c r="AR46" s="523"/>
      <c r="AS46" s="523"/>
      <c r="AT46" s="523"/>
      <c r="AU46" s="523"/>
      <c r="AV46" s="523"/>
      <c r="AW46" s="523"/>
      <c r="AX46" s="523"/>
      <c r="AY46" s="523"/>
      <c r="AZ46" s="523"/>
      <c r="BA46" s="523"/>
      <c r="BB46" s="523"/>
      <c r="BC46" s="523"/>
      <c r="BD46" s="523"/>
      <c r="BE46" s="523"/>
      <c r="BF46" s="523"/>
      <c r="BG46" s="523"/>
      <c r="BH46" s="523"/>
      <c r="BI46" s="523"/>
      <c r="BJ46" s="523"/>
      <c r="BK46" s="523"/>
      <c r="BL46" s="523"/>
      <c r="BM46" s="523"/>
      <c r="BN46" s="523"/>
      <c r="BO46" s="523"/>
      <c r="BP46" s="523"/>
      <c r="BQ46" s="523"/>
      <c r="BR46" s="523"/>
      <c r="BS46" s="523"/>
      <c r="BT46" s="523"/>
      <c r="BU46" s="523"/>
      <c r="BV46" s="523"/>
      <c r="BW46" s="523"/>
      <c r="BX46" s="523"/>
      <c r="BY46" s="523"/>
      <c r="BZ46" s="523"/>
      <c r="CA46" s="523"/>
      <c r="CB46" s="523"/>
      <c r="CC46" s="523"/>
      <c r="CD46" s="523"/>
      <c r="CE46" s="523"/>
      <c r="CF46" s="523"/>
      <c r="CG46" s="523"/>
      <c r="CH46" s="523"/>
      <c r="CI46" s="523"/>
      <c r="CJ46" s="523"/>
      <c r="CK46" s="523"/>
      <c r="CL46" s="523"/>
      <c r="CM46" s="523"/>
      <c r="CN46" s="523"/>
      <c r="CO46" s="523"/>
      <c r="CP46" s="523"/>
      <c r="CQ46" s="523"/>
      <c r="CR46" s="523"/>
      <c r="CS46" s="523"/>
      <c r="CT46" s="523"/>
      <c r="CU46" s="523"/>
      <c r="CV46" s="523"/>
      <c r="CW46" s="523"/>
      <c r="CX46" s="523"/>
      <c r="CY46" s="523"/>
      <c r="CZ46" s="523"/>
      <c r="DA46" s="523"/>
      <c r="DB46" s="523"/>
      <c r="DC46" s="523"/>
      <c r="DD46" s="523"/>
      <c r="DE46" s="523"/>
      <c r="DF46" s="523"/>
      <c r="DG46" s="523"/>
      <c r="DH46" s="523"/>
    </row>
    <row r="47" spans="1:112" s="522" customFormat="1" ht="14.25" hidden="1" customHeight="1">
      <c r="A47" s="252" t="s">
        <v>63</v>
      </c>
      <c r="B47" s="478" t="s">
        <v>45</v>
      </c>
      <c r="C47" s="15" t="s">
        <v>30</v>
      </c>
      <c r="D47" s="296">
        <f t="shared" si="6"/>
        <v>0</v>
      </c>
      <c r="E47" s="296">
        <f t="shared" si="16"/>
        <v>0</v>
      </c>
      <c r="F47" s="296">
        <f t="shared" si="7"/>
        <v>0</v>
      </c>
      <c r="G47" s="305">
        <f t="shared" si="17"/>
        <v>0</v>
      </c>
      <c r="H47" s="296">
        <v>0</v>
      </c>
      <c r="I47" s="296">
        <f t="shared" si="18"/>
        <v>0</v>
      </c>
      <c r="J47" s="219">
        <f t="shared" si="12"/>
        <v>0</v>
      </c>
      <c r="K47" s="296">
        <v>0</v>
      </c>
      <c r="L47" s="305">
        <f t="shared" si="19"/>
        <v>0</v>
      </c>
      <c r="M47" s="296">
        <v>0</v>
      </c>
      <c r="N47" s="296">
        <f t="shared" si="20"/>
        <v>0</v>
      </c>
      <c r="O47" s="219">
        <f t="shared" si="13"/>
        <v>0</v>
      </c>
      <c r="P47" s="296">
        <v>0</v>
      </c>
      <c r="Q47" s="305">
        <f t="shared" si="8"/>
        <v>0</v>
      </c>
      <c r="R47" s="296">
        <v>0</v>
      </c>
      <c r="S47" s="296">
        <f t="shared" si="21"/>
        <v>0</v>
      </c>
      <c r="T47" s="219">
        <f t="shared" si="14"/>
        <v>0</v>
      </c>
      <c r="U47" s="296">
        <v>0</v>
      </c>
      <c r="V47" s="305">
        <f t="shared" si="9"/>
        <v>0</v>
      </c>
      <c r="W47" s="308"/>
      <c r="X47" s="308"/>
      <c r="Y47" s="162">
        <v>0</v>
      </c>
      <c r="Z47" s="74">
        <v>0</v>
      </c>
      <c r="AA47" s="69">
        <v>0</v>
      </c>
      <c r="AB47" s="74">
        <v>0</v>
      </c>
      <c r="AC47" s="69">
        <v>0</v>
      </c>
      <c r="AD47" s="70">
        <v>0</v>
      </c>
      <c r="AE47" s="69">
        <v>0</v>
      </c>
      <c r="AF47" s="70">
        <v>0</v>
      </c>
      <c r="AG47" s="524"/>
      <c r="AH47" s="525"/>
      <c r="AI47" s="525"/>
      <c r="AK47" s="525"/>
      <c r="AL47" s="525"/>
      <c r="AM47" s="525"/>
      <c r="AO47" s="523"/>
      <c r="AP47" s="523"/>
      <c r="AQ47" s="523"/>
      <c r="AR47" s="523"/>
      <c r="AS47" s="523"/>
      <c r="AT47" s="523"/>
      <c r="AU47" s="523"/>
      <c r="AV47" s="523"/>
      <c r="AW47" s="523"/>
      <c r="AX47" s="523"/>
      <c r="AY47" s="523"/>
      <c r="AZ47" s="523"/>
      <c r="BA47" s="523"/>
      <c r="BB47" s="523"/>
      <c r="BC47" s="523"/>
      <c r="BD47" s="523"/>
      <c r="BE47" s="523"/>
      <c r="BF47" s="523"/>
      <c r="BG47" s="523"/>
      <c r="BH47" s="523"/>
      <c r="BI47" s="523"/>
      <c r="BJ47" s="523"/>
      <c r="BK47" s="523"/>
      <c r="BL47" s="523"/>
      <c r="BM47" s="523"/>
      <c r="BN47" s="523"/>
      <c r="BO47" s="523"/>
      <c r="BP47" s="523"/>
      <c r="BQ47" s="523"/>
      <c r="BR47" s="523"/>
      <c r="BS47" s="523"/>
      <c r="BT47" s="523"/>
      <c r="BU47" s="523"/>
      <c r="BV47" s="523"/>
      <c r="BW47" s="523"/>
      <c r="BX47" s="523"/>
      <c r="BY47" s="523"/>
      <c r="BZ47" s="523"/>
      <c r="CA47" s="523"/>
      <c r="CB47" s="523"/>
      <c r="CC47" s="523"/>
      <c r="CD47" s="523"/>
      <c r="CE47" s="523"/>
      <c r="CF47" s="523"/>
      <c r="CG47" s="523"/>
      <c r="CH47" s="523"/>
      <c r="CI47" s="523"/>
      <c r="CJ47" s="523"/>
      <c r="CK47" s="523"/>
      <c r="CL47" s="523"/>
      <c r="CM47" s="523"/>
      <c r="CN47" s="523"/>
      <c r="CO47" s="523"/>
      <c r="CP47" s="523"/>
      <c r="CQ47" s="523"/>
      <c r="CR47" s="523"/>
      <c r="CS47" s="523"/>
      <c r="CT47" s="523"/>
      <c r="CU47" s="523"/>
      <c r="CV47" s="523"/>
      <c r="CW47" s="523"/>
      <c r="CX47" s="523"/>
      <c r="CY47" s="523"/>
      <c r="CZ47" s="523"/>
      <c r="DA47" s="523"/>
      <c r="DB47" s="523"/>
      <c r="DC47" s="523"/>
      <c r="DD47" s="523"/>
      <c r="DE47" s="523"/>
      <c r="DF47" s="523"/>
      <c r="DG47" s="523"/>
      <c r="DH47" s="523"/>
    </row>
    <row r="48" spans="1:112" s="522" customFormat="1" ht="17.25" hidden="1" customHeight="1">
      <c r="A48" s="252" t="s">
        <v>64</v>
      </c>
      <c r="B48" s="478" t="s">
        <v>56</v>
      </c>
      <c r="C48" s="15" t="s">
        <v>30</v>
      </c>
      <c r="D48" s="296">
        <f t="shared" si="6"/>
        <v>0</v>
      </c>
      <c r="E48" s="296">
        <f t="shared" si="16"/>
        <v>0</v>
      </c>
      <c r="F48" s="296">
        <f t="shared" si="7"/>
        <v>0</v>
      </c>
      <c r="G48" s="305">
        <f t="shared" si="17"/>
        <v>0</v>
      </c>
      <c r="H48" s="296">
        <v>0</v>
      </c>
      <c r="I48" s="296">
        <f t="shared" si="18"/>
        <v>0</v>
      </c>
      <c r="J48" s="219">
        <f t="shared" si="12"/>
        <v>0</v>
      </c>
      <c r="K48" s="296">
        <v>0</v>
      </c>
      <c r="L48" s="305">
        <f t="shared" si="19"/>
        <v>0</v>
      </c>
      <c r="M48" s="296">
        <v>0</v>
      </c>
      <c r="N48" s="296">
        <f t="shared" si="20"/>
        <v>0</v>
      </c>
      <c r="O48" s="219">
        <f t="shared" si="13"/>
        <v>0</v>
      </c>
      <c r="P48" s="296">
        <v>0</v>
      </c>
      <c r="Q48" s="305">
        <f t="shared" si="8"/>
        <v>0</v>
      </c>
      <c r="R48" s="296">
        <v>0</v>
      </c>
      <c r="S48" s="296">
        <f t="shared" si="21"/>
        <v>0</v>
      </c>
      <c r="T48" s="219">
        <f t="shared" si="14"/>
        <v>0</v>
      </c>
      <c r="U48" s="296">
        <v>0</v>
      </c>
      <c r="V48" s="305">
        <f t="shared" si="9"/>
        <v>0</v>
      </c>
      <c r="W48" s="308"/>
      <c r="X48" s="308"/>
      <c r="Y48" s="162">
        <v>0</v>
      </c>
      <c r="Z48" s="74">
        <v>0</v>
      </c>
      <c r="AA48" s="69">
        <v>0</v>
      </c>
      <c r="AB48" s="74">
        <v>0</v>
      </c>
      <c r="AC48" s="69">
        <v>0</v>
      </c>
      <c r="AD48" s="70">
        <v>0</v>
      </c>
      <c r="AE48" s="69">
        <v>0</v>
      </c>
      <c r="AF48" s="70">
        <v>0</v>
      </c>
      <c r="AG48" s="524"/>
      <c r="AH48" s="525"/>
      <c r="AI48" s="525"/>
      <c r="AK48" s="525"/>
      <c r="AL48" s="525"/>
      <c r="AM48" s="525"/>
      <c r="AO48" s="523"/>
      <c r="AP48" s="523"/>
      <c r="AQ48" s="523"/>
      <c r="AR48" s="523"/>
      <c r="AS48" s="523"/>
      <c r="AT48" s="523"/>
      <c r="AU48" s="523"/>
      <c r="AV48" s="523"/>
      <c r="AW48" s="523"/>
      <c r="AX48" s="523"/>
      <c r="AY48" s="523"/>
      <c r="AZ48" s="523"/>
      <c r="BA48" s="523"/>
      <c r="BB48" s="523"/>
      <c r="BC48" s="523"/>
      <c r="BD48" s="523"/>
      <c r="BE48" s="523"/>
      <c r="BF48" s="523"/>
      <c r="BG48" s="523"/>
      <c r="BH48" s="523"/>
      <c r="BI48" s="523"/>
      <c r="BJ48" s="523"/>
      <c r="BK48" s="523"/>
      <c r="BL48" s="523"/>
      <c r="BM48" s="523"/>
      <c r="BN48" s="523"/>
      <c r="BO48" s="523"/>
      <c r="BP48" s="523"/>
      <c r="BQ48" s="523"/>
      <c r="BR48" s="523"/>
      <c r="BS48" s="523"/>
      <c r="BT48" s="523"/>
      <c r="BU48" s="523"/>
      <c r="BV48" s="523"/>
      <c r="BW48" s="523"/>
      <c r="BX48" s="523"/>
      <c r="BY48" s="523"/>
      <c r="BZ48" s="523"/>
      <c r="CA48" s="523"/>
      <c r="CB48" s="523"/>
      <c r="CC48" s="523"/>
      <c r="CD48" s="523"/>
      <c r="CE48" s="523"/>
      <c r="CF48" s="523"/>
      <c r="CG48" s="523"/>
      <c r="CH48" s="523"/>
      <c r="CI48" s="523"/>
      <c r="CJ48" s="523"/>
      <c r="CK48" s="523"/>
      <c r="CL48" s="523"/>
      <c r="CM48" s="523"/>
      <c r="CN48" s="523"/>
      <c r="CO48" s="523"/>
      <c r="CP48" s="523"/>
      <c r="CQ48" s="523"/>
      <c r="CR48" s="523"/>
      <c r="CS48" s="523"/>
      <c r="CT48" s="523"/>
      <c r="CU48" s="523"/>
      <c r="CV48" s="523"/>
      <c r="CW48" s="523"/>
      <c r="CX48" s="523"/>
      <c r="CY48" s="523"/>
      <c r="CZ48" s="523"/>
      <c r="DA48" s="523"/>
      <c r="DB48" s="523"/>
      <c r="DC48" s="523"/>
      <c r="DD48" s="523"/>
      <c r="DE48" s="523"/>
      <c r="DF48" s="523"/>
      <c r="DG48" s="523"/>
      <c r="DH48" s="523"/>
    </row>
    <row r="49" spans="1:112" s="380" customFormat="1" ht="17.100000000000001" customHeight="1">
      <c r="A49" s="252" t="s">
        <v>372</v>
      </c>
      <c r="B49" s="478" t="s">
        <v>103</v>
      </c>
      <c r="C49" s="15" t="s">
        <v>30</v>
      </c>
      <c r="D49" s="296">
        <f t="shared" si="6"/>
        <v>0</v>
      </c>
      <c r="E49" s="296">
        <f t="shared" si="16"/>
        <v>0</v>
      </c>
      <c r="F49" s="296">
        <f t="shared" si="7"/>
        <v>0</v>
      </c>
      <c r="G49" s="305">
        <f t="shared" si="17"/>
        <v>0</v>
      </c>
      <c r="H49" s="296">
        <v>0</v>
      </c>
      <c r="I49" s="296">
        <f t="shared" si="18"/>
        <v>0</v>
      </c>
      <c r="J49" s="219">
        <f t="shared" si="12"/>
        <v>0</v>
      </c>
      <c r="K49" s="296">
        <f>H49*J49</f>
        <v>0</v>
      </c>
      <c r="L49" s="305">
        <f t="shared" si="19"/>
        <v>0</v>
      </c>
      <c r="M49" s="296">
        <v>0</v>
      </c>
      <c r="N49" s="296">
        <f t="shared" si="20"/>
        <v>0</v>
      </c>
      <c r="O49" s="219">
        <f t="shared" si="13"/>
        <v>0</v>
      </c>
      <c r="P49" s="296">
        <f>M49*O49</f>
        <v>0</v>
      </c>
      <c r="Q49" s="305">
        <f t="shared" si="8"/>
        <v>0</v>
      </c>
      <c r="R49" s="296">
        <v>0</v>
      </c>
      <c r="S49" s="296">
        <f t="shared" si="21"/>
        <v>0</v>
      </c>
      <c r="T49" s="219">
        <f t="shared" si="14"/>
        <v>0</v>
      </c>
      <c r="U49" s="296">
        <f>R49*T49</f>
        <v>0</v>
      </c>
      <c r="V49" s="305">
        <f t="shared" si="9"/>
        <v>0</v>
      </c>
      <c r="W49" s="308"/>
      <c r="X49" s="308"/>
      <c r="Y49" s="162">
        <v>0</v>
      </c>
      <c r="Z49" s="74">
        <v>0</v>
      </c>
      <c r="AA49" s="75">
        <v>0</v>
      </c>
      <c r="AB49" s="74">
        <v>0</v>
      </c>
      <c r="AC49" s="75">
        <v>0</v>
      </c>
      <c r="AD49" s="74">
        <v>0</v>
      </c>
      <c r="AE49" s="75">
        <v>0</v>
      </c>
      <c r="AF49" s="74">
        <v>0</v>
      </c>
      <c r="AG49" s="524"/>
      <c r="AH49" s="525"/>
      <c r="AI49" s="525"/>
      <c r="AJ49" s="380">
        <f>AJ44/AH44</f>
        <v>2.0071368436553301</v>
      </c>
      <c r="AK49" s="525"/>
      <c r="AL49" s="525"/>
      <c r="AM49" s="525"/>
      <c r="AN49" s="380">
        <f>AN44/AL44</f>
        <v>2.0071169844564598</v>
      </c>
    </row>
    <row r="50" spans="1:112" s="380" customFormat="1" ht="17.100000000000001" customHeight="1">
      <c r="A50" s="52">
        <v>4</v>
      </c>
      <c r="B50" s="222" t="s">
        <v>65</v>
      </c>
      <c r="C50" s="15" t="s">
        <v>30</v>
      </c>
      <c r="D50" s="296">
        <f t="shared" si="6"/>
        <v>0</v>
      </c>
      <c r="E50" s="296">
        <f t="shared" si="16"/>
        <v>0</v>
      </c>
      <c r="F50" s="296">
        <f t="shared" si="7"/>
        <v>0</v>
      </c>
      <c r="G50" s="305">
        <f t="shared" si="17"/>
        <v>0</v>
      </c>
      <c r="H50" s="296">
        <v>0</v>
      </c>
      <c r="I50" s="296">
        <f t="shared" si="18"/>
        <v>0</v>
      </c>
      <c r="J50" s="219">
        <f t="shared" si="12"/>
        <v>0</v>
      </c>
      <c r="K50" s="296">
        <f>H50*J50</f>
        <v>0</v>
      </c>
      <c r="L50" s="305">
        <f t="shared" si="19"/>
        <v>0</v>
      </c>
      <c r="M50" s="296">
        <v>0</v>
      </c>
      <c r="N50" s="296">
        <f t="shared" si="20"/>
        <v>0</v>
      </c>
      <c r="O50" s="219">
        <f t="shared" si="13"/>
        <v>0</v>
      </c>
      <c r="P50" s="296">
        <f>M50*O50</f>
        <v>0</v>
      </c>
      <c r="Q50" s="305">
        <f t="shared" si="8"/>
        <v>0</v>
      </c>
      <c r="R50" s="296">
        <v>0</v>
      </c>
      <c r="S50" s="296">
        <f t="shared" si="21"/>
        <v>0</v>
      </c>
      <c r="T50" s="219">
        <f t="shared" si="14"/>
        <v>0</v>
      </c>
      <c r="U50" s="296">
        <f>R50*T50</f>
        <v>0</v>
      </c>
      <c r="V50" s="305">
        <f t="shared" si="9"/>
        <v>0</v>
      </c>
      <c r="W50" s="308"/>
      <c r="X50" s="308"/>
      <c r="Y50" s="162">
        <v>0</v>
      </c>
      <c r="Z50" s="74">
        <v>0</v>
      </c>
      <c r="AA50" s="75">
        <v>0</v>
      </c>
      <c r="AB50" s="74">
        <v>0</v>
      </c>
      <c r="AC50" s="75">
        <v>0</v>
      </c>
      <c r="AD50" s="74">
        <v>0</v>
      </c>
      <c r="AE50" s="75">
        <v>0</v>
      </c>
      <c r="AF50" s="74">
        <v>0</v>
      </c>
      <c r="AG50" s="585" t="s">
        <v>370</v>
      </c>
      <c r="AJ50" s="522"/>
      <c r="AN50" s="523"/>
    </row>
    <row r="51" spans="1:112" s="380" customFormat="1" ht="17.100000000000001" customHeight="1">
      <c r="A51" s="313">
        <v>5</v>
      </c>
      <c r="B51" s="314" t="s">
        <v>100</v>
      </c>
      <c r="C51" s="481" t="s">
        <v>30</v>
      </c>
      <c r="D51" s="312">
        <f t="shared" si="6"/>
        <v>91750.399999999994</v>
      </c>
      <c r="E51" s="305">
        <f t="shared" si="16"/>
        <v>379.93</v>
      </c>
      <c r="F51" s="312">
        <f t="shared" si="7"/>
        <v>287821.67</v>
      </c>
      <c r="G51" s="305">
        <f t="shared" si="17"/>
        <v>1191.8499999999999</v>
      </c>
      <c r="H51" s="305">
        <f>H40+H8</f>
        <v>60797.7</v>
      </c>
      <c r="I51" s="305">
        <f t="shared" si="18"/>
        <v>296.13</v>
      </c>
      <c r="J51" s="316">
        <f>K51/H51</f>
        <v>3.7704</v>
      </c>
      <c r="K51" s="305">
        <f>K40+K8+0.01</f>
        <v>229234.31</v>
      </c>
      <c r="L51" s="305">
        <f t="shared" si="19"/>
        <v>1116.53</v>
      </c>
      <c r="M51" s="305">
        <f>M40+M8</f>
        <v>23305.99</v>
      </c>
      <c r="N51" s="305">
        <f t="shared" si="20"/>
        <v>855.45</v>
      </c>
      <c r="O51" s="316">
        <f>P51/M51</f>
        <v>1.8928</v>
      </c>
      <c r="P51" s="305">
        <f>P40+P8</f>
        <v>44113.64</v>
      </c>
      <c r="Q51" s="305">
        <f t="shared" si="8"/>
        <v>1619.2</v>
      </c>
      <c r="R51" s="305">
        <f>R40+R8</f>
        <v>7646.71</v>
      </c>
      <c r="S51" s="305">
        <f t="shared" si="21"/>
        <v>855.45</v>
      </c>
      <c r="T51" s="316">
        <f>U51/R51</f>
        <v>1.8928</v>
      </c>
      <c r="U51" s="305">
        <f>U40+U8-0.01</f>
        <v>14473.72</v>
      </c>
      <c r="V51" s="305">
        <f t="shared" si="9"/>
        <v>1619.2</v>
      </c>
      <c r="W51" s="308"/>
      <c r="X51" s="308"/>
      <c r="Y51" s="162">
        <v>19399.560000000001</v>
      </c>
      <c r="Z51" s="74">
        <v>316.45999999999998</v>
      </c>
      <c r="AA51" s="75">
        <v>13189.5</v>
      </c>
      <c r="AB51" s="74">
        <v>252.78</v>
      </c>
      <c r="AC51" s="75">
        <v>4924.47</v>
      </c>
      <c r="AD51" s="74">
        <v>680.64</v>
      </c>
      <c r="AE51" s="75">
        <v>1285.5899999999999</v>
      </c>
      <c r="AF51" s="74">
        <v>680.64</v>
      </c>
      <c r="AG51" s="615" t="s">
        <v>371</v>
      </c>
      <c r="AJ51" s="525"/>
      <c r="AN51" s="523"/>
    </row>
    <row r="52" spans="1:112" s="380" customFormat="1" ht="17.100000000000001" customHeight="1">
      <c r="A52" s="313">
        <v>6</v>
      </c>
      <c r="B52" s="314" t="s">
        <v>373</v>
      </c>
      <c r="C52" s="481"/>
      <c r="D52" s="312"/>
      <c r="E52" s="305"/>
      <c r="F52" s="312">
        <f>K52+P52+U52</f>
        <v>0</v>
      </c>
      <c r="G52" s="305">
        <f>F52/$F$61*1000</f>
        <v>0</v>
      </c>
      <c r="H52" s="305"/>
      <c r="I52" s="305"/>
      <c r="J52" s="316"/>
      <c r="K52" s="305">
        <v>0</v>
      </c>
      <c r="L52" s="305">
        <f t="shared" si="19"/>
        <v>0</v>
      </c>
      <c r="M52" s="305"/>
      <c r="N52" s="305"/>
      <c r="O52" s="316"/>
      <c r="P52" s="305">
        <v>0</v>
      </c>
      <c r="Q52" s="305">
        <f t="shared" si="8"/>
        <v>0</v>
      </c>
      <c r="R52" s="305"/>
      <c r="S52" s="305"/>
      <c r="T52" s="316"/>
      <c r="U52" s="305">
        <v>0</v>
      </c>
      <c r="V52" s="305">
        <f t="shared" si="9"/>
        <v>0</v>
      </c>
      <c r="W52" s="308"/>
      <c r="X52" s="308"/>
      <c r="Y52" s="162"/>
      <c r="Z52" s="74"/>
      <c r="AA52" s="75"/>
      <c r="AB52" s="74"/>
      <c r="AC52" s="75"/>
      <c r="AD52" s="74"/>
      <c r="AE52" s="75"/>
      <c r="AF52" s="74"/>
      <c r="AG52" s="585"/>
      <c r="AJ52" s="525"/>
      <c r="AN52" s="523"/>
    </row>
    <row r="53" spans="1:112" s="380" customFormat="1" ht="18.75" customHeight="1">
      <c r="A53" s="313">
        <v>7</v>
      </c>
      <c r="B53" s="317" t="s">
        <v>140</v>
      </c>
      <c r="C53" s="481" t="s">
        <v>30</v>
      </c>
      <c r="D53" s="312">
        <f t="shared" si="6"/>
        <v>1347.08</v>
      </c>
      <c r="E53" s="305">
        <f t="shared" si="16"/>
        <v>5.58</v>
      </c>
      <c r="F53" s="312">
        <f t="shared" si="7"/>
        <v>0</v>
      </c>
      <c r="G53" s="305">
        <f t="shared" si="17"/>
        <v>0</v>
      </c>
      <c r="H53" s="305">
        <f>SUM(H54:H58)</f>
        <v>0</v>
      </c>
      <c r="I53" s="305">
        <f t="shared" si="18"/>
        <v>0</v>
      </c>
      <c r="J53" s="318">
        <f>IF(H53=0,0,K53/H53)</f>
        <v>0</v>
      </c>
      <c r="K53" s="305">
        <f>SUM(K54:K58)</f>
        <v>0</v>
      </c>
      <c r="L53" s="305">
        <f t="shared" si="19"/>
        <v>0</v>
      </c>
      <c r="M53" s="305">
        <f>SUM(M54:M58)</f>
        <v>1014.29</v>
      </c>
      <c r="N53" s="305">
        <f t="shared" si="20"/>
        <v>37.229999999999997</v>
      </c>
      <c r="O53" s="316">
        <f>P53/M53</f>
        <v>0</v>
      </c>
      <c r="P53" s="305">
        <f>SUM(P54:P58)</f>
        <v>0</v>
      </c>
      <c r="Q53" s="305">
        <f t="shared" si="8"/>
        <v>0</v>
      </c>
      <c r="R53" s="305">
        <f>SUM(R54:R58)</f>
        <v>332.79</v>
      </c>
      <c r="S53" s="305">
        <f t="shared" si="21"/>
        <v>37.229999999999997</v>
      </c>
      <c r="T53" s="316">
        <f>U53/R53</f>
        <v>0</v>
      </c>
      <c r="U53" s="305">
        <f>SUM(U54:U58)</f>
        <v>0</v>
      </c>
      <c r="V53" s="305">
        <f t="shared" si="9"/>
        <v>0</v>
      </c>
      <c r="W53" s="308"/>
      <c r="X53" s="308"/>
      <c r="Y53" s="162">
        <v>0</v>
      </c>
      <c r="Z53" s="74">
        <v>0</v>
      </c>
      <c r="AA53" s="75">
        <v>0</v>
      </c>
      <c r="AB53" s="74">
        <v>0</v>
      </c>
      <c r="AC53" s="75">
        <v>0</v>
      </c>
      <c r="AD53" s="74">
        <v>0</v>
      </c>
      <c r="AE53" s="75">
        <v>0</v>
      </c>
      <c r="AF53" s="74">
        <v>0</v>
      </c>
      <c r="AJ53" s="525"/>
      <c r="AN53" s="523"/>
    </row>
    <row r="54" spans="1:112" s="491" customFormat="1" ht="17.100000000000001" customHeight="1">
      <c r="A54" s="95" t="s">
        <v>66</v>
      </c>
      <c r="B54" s="223" t="s">
        <v>67</v>
      </c>
      <c r="C54" s="51" t="s">
        <v>30</v>
      </c>
      <c r="D54" s="298">
        <f t="shared" si="6"/>
        <v>0</v>
      </c>
      <c r="E54" s="298">
        <f t="shared" si="16"/>
        <v>0</v>
      </c>
      <c r="F54" s="298">
        <f t="shared" si="7"/>
        <v>0</v>
      </c>
      <c r="G54" s="306">
        <f t="shared" si="17"/>
        <v>0</v>
      </c>
      <c r="H54" s="298">
        <v>0</v>
      </c>
      <c r="I54" s="298">
        <f t="shared" si="18"/>
        <v>0</v>
      </c>
      <c r="J54" s="255">
        <f>IF(H54=0,0,1)</f>
        <v>0</v>
      </c>
      <c r="K54" s="298">
        <v>0</v>
      </c>
      <c r="L54" s="306">
        <f t="shared" si="19"/>
        <v>0</v>
      </c>
      <c r="M54" s="298">
        <v>0</v>
      </c>
      <c r="N54" s="298">
        <f t="shared" si="20"/>
        <v>0</v>
      </c>
      <c r="O54" s="255">
        <f t="shared" si="13"/>
        <v>0</v>
      </c>
      <c r="P54" s="298">
        <v>0</v>
      </c>
      <c r="Q54" s="306">
        <f t="shared" si="8"/>
        <v>0</v>
      </c>
      <c r="R54" s="298">
        <v>0</v>
      </c>
      <c r="S54" s="298">
        <f t="shared" si="21"/>
        <v>0</v>
      </c>
      <c r="T54" s="255">
        <f t="shared" si="14"/>
        <v>0</v>
      </c>
      <c r="U54" s="298">
        <v>0</v>
      </c>
      <c r="V54" s="306">
        <f t="shared" si="9"/>
        <v>0</v>
      </c>
      <c r="W54" s="400"/>
      <c r="X54" s="400"/>
      <c r="Y54" s="161">
        <v>0</v>
      </c>
      <c r="Z54" s="77">
        <v>0</v>
      </c>
      <c r="AA54" s="71">
        <v>0</v>
      </c>
      <c r="AB54" s="77">
        <v>0</v>
      </c>
      <c r="AC54" s="71">
        <v>0</v>
      </c>
      <c r="AD54" s="72">
        <v>0</v>
      </c>
      <c r="AE54" s="71">
        <v>0</v>
      </c>
      <c r="AF54" s="72">
        <v>0</v>
      </c>
      <c r="AG54" s="527"/>
      <c r="AH54" s="489"/>
      <c r="AI54" s="489"/>
      <c r="AJ54" s="525">
        <f>AJ42+AJ43-AJ44</f>
        <v>0</v>
      </c>
      <c r="AK54" s="489"/>
      <c r="AL54" s="489"/>
      <c r="AM54" s="489"/>
      <c r="AN54" s="380">
        <f>AN42+AN43-AN44</f>
        <v>0</v>
      </c>
      <c r="AO54" s="489"/>
      <c r="AP54" s="489"/>
      <c r="AQ54" s="489"/>
      <c r="AR54" s="489"/>
      <c r="AS54" s="489"/>
      <c r="AT54" s="489"/>
      <c r="AU54" s="489"/>
      <c r="AV54" s="489"/>
      <c r="AW54" s="489"/>
      <c r="AX54" s="489"/>
      <c r="AY54" s="489"/>
      <c r="AZ54" s="489"/>
      <c r="BA54" s="489"/>
      <c r="BB54" s="489"/>
      <c r="BC54" s="489"/>
      <c r="BD54" s="489"/>
      <c r="BE54" s="489"/>
      <c r="BF54" s="489"/>
      <c r="BG54" s="489"/>
      <c r="BH54" s="489"/>
      <c r="BI54" s="489"/>
      <c r="BJ54" s="489"/>
      <c r="BK54" s="489"/>
      <c r="BL54" s="489"/>
      <c r="BM54" s="489"/>
      <c r="BN54" s="489"/>
      <c r="BO54" s="489"/>
      <c r="BP54" s="489"/>
      <c r="BQ54" s="489"/>
      <c r="BR54" s="489"/>
      <c r="BS54" s="489"/>
      <c r="BT54" s="489"/>
      <c r="BU54" s="489"/>
      <c r="BV54" s="489"/>
      <c r="BW54" s="489"/>
      <c r="BX54" s="489"/>
      <c r="BY54" s="489"/>
      <c r="BZ54" s="489"/>
      <c r="CA54" s="489"/>
      <c r="CB54" s="489"/>
      <c r="CC54" s="489"/>
      <c r="CD54" s="489"/>
      <c r="CE54" s="489"/>
      <c r="CF54" s="489"/>
      <c r="CG54" s="489"/>
      <c r="CH54" s="489"/>
      <c r="CI54" s="489"/>
      <c r="CJ54" s="489"/>
      <c r="CK54" s="489"/>
      <c r="CL54" s="489"/>
      <c r="CM54" s="489"/>
      <c r="CN54" s="489"/>
      <c r="CO54" s="489"/>
      <c r="CP54" s="489"/>
      <c r="CQ54" s="489"/>
      <c r="CR54" s="489"/>
      <c r="CS54" s="489"/>
      <c r="CT54" s="489"/>
      <c r="CU54" s="489"/>
      <c r="CV54" s="489"/>
      <c r="CW54" s="489"/>
      <c r="CX54" s="489"/>
      <c r="CY54" s="489"/>
      <c r="CZ54" s="489"/>
      <c r="DA54" s="489"/>
      <c r="DB54" s="489"/>
      <c r="DC54" s="489"/>
      <c r="DD54" s="489"/>
      <c r="DE54" s="489"/>
      <c r="DF54" s="489"/>
      <c r="DG54" s="489"/>
      <c r="DH54" s="489"/>
    </row>
    <row r="55" spans="1:112" s="491" customFormat="1" ht="17.100000000000001" customHeight="1">
      <c r="A55" s="95" t="s">
        <v>68</v>
      </c>
      <c r="B55" s="223" t="s">
        <v>69</v>
      </c>
      <c r="C55" s="51" t="s">
        <v>30</v>
      </c>
      <c r="D55" s="298">
        <f t="shared" si="6"/>
        <v>0</v>
      </c>
      <c r="E55" s="298">
        <f t="shared" si="16"/>
        <v>0</v>
      </c>
      <c r="F55" s="298">
        <f t="shared" si="7"/>
        <v>0</v>
      </c>
      <c r="G55" s="306">
        <f t="shared" si="17"/>
        <v>0</v>
      </c>
      <c r="H55" s="298">
        <v>0</v>
      </c>
      <c r="I55" s="298">
        <f t="shared" si="18"/>
        <v>0</v>
      </c>
      <c r="J55" s="255">
        <f>IF(H55=0,0,1)</f>
        <v>0</v>
      </c>
      <c r="K55" s="298">
        <v>0</v>
      </c>
      <c r="L55" s="306">
        <f t="shared" si="19"/>
        <v>0</v>
      </c>
      <c r="M55" s="298">
        <v>0</v>
      </c>
      <c r="N55" s="298">
        <f t="shared" si="20"/>
        <v>0</v>
      </c>
      <c r="O55" s="255">
        <f t="shared" si="13"/>
        <v>0</v>
      </c>
      <c r="P55" s="298">
        <v>0</v>
      </c>
      <c r="Q55" s="306">
        <f t="shared" si="8"/>
        <v>0</v>
      </c>
      <c r="R55" s="298">
        <v>0</v>
      </c>
      <c r="S55" s="298">
        <f t="shared" si="21"/>
        <v>0</v>
      </c>
      <c r="T55" s="255">
        <f t="shared" si="14"/>
        <v>0</v>
      </c>
      <c r="U55" s="298">
        <v>0</v>
      </c>
      <c r="V55" s="306">
        <f t="shared" si="9"/>
        <v>0</v>
      </c>
      <c r="W55" s="400"/>
      <c r="X55" s="400"/>
      <c r="Y55" s="161">
        <v>0</v>
      </c>
      <c r="Z55" s="77">
        <v>0</v>
      </c>
      <c r="AA55" s="71">
        <v>0</v>
      </c>
      <c r="AB55" s="77">
        <v>0</v>
      </c>
      <c r="AC55" s="71">
        <v>0</v>
      </c>
      <c r="AD55" s="72">
        <v>0</v>
      </c>
      <c r="AE55" s="71">
        <v>0</v>
      </c>
      <c r="AF55" s="72">
        <v>0</v>
      </c>
      <c r="AG55" s="527"/>
      <c r="AH55" s="489"/>
      <c r="AI55" s="489"/>
      <c r="AJ55" s="489"/>
      <c r="AK55" s="489"/>
      <c r="AL55" s="489"/>
      <c r="AM55" s="489"/>
      <c r="AN55" s="489"/>
      <c r="AO55" s="489"/>
      <c r="AP55" s="489"/>
      <c r="AQ55" s="489"/>
      <c r="AR55" s="489"/>
      <c r="AS55" s="489"/>
      <c r="AT55" s="489"/>
      <c r="AU55" s="489"/>
      <c r="AV55" s="489"/>
      <c r="AW55" s="489"/>
      <c r="AX55" s="489"/>
      <c r="AY55" s="489"/>
      <c r="AZ55" s="489"/>
      <c r="BA55" s="489"/>
      <c r="BB55" s="489"/>
      <c r="BC55" s="489"/>
      <c r="BD55" s="489"/>
      <c r="BE55" s="489"/>
      <c r="BF55" s="489"/>
      <c r="BG55" s="489"/>
      <c r="BH55" s="489"/>
      <c r="BI55" s="489"/>
      <c r="BJ55" s="489"/>
      <c r="BK55" s="489"/>
      <c r="BL55" s="489"/>
      <c r="BM55" s="489"/>
      <c r="BN55" s="489"/>
      <c r="BO55" s="489"/>
      <c r="BP55" s="489"/>
      <c r="BQ55" s="489"/>
      <c r="BR55" s="489"/>
      <c r="BS55" s="489"/>
      <c r="BT55" s="489"/>
      <c r="BU55" s="489"/>
      <c r="BV55" s="489"/>
      <c r="BW55" s="489"/>
      <c r="BX55" s="489"/>
      <c r="BY55" s="489"/>
      <c r="BZ55" s="489"/>
      <c r="CA55" s="489"/>
      <c r="CB55" s="489"/>
      <c r="CC55" s="489"/>
      <c r="CD55" s="489"/>
      <c r="CE55" s="489"/>
      <c r="CF55" s="489"/>
      <c r="CG55" s="489"/>
      <c r="CH55" s="489"/>
      <c r="CI55" s="489"/>
      <c r="CJ55" s="489"/>
      <c r="CK55" s="489"/>
      <c r="CL55" s="489"/>
      <c r="CM55" s="489"/>
      <c r="CN55" s="489"/>
      <c r="CO55" s="489"/>
      <c r="CP55" s="489"/>
      <c r="CQ55" s="489"/>
      <c r="CR55" s="489"/>
      <c r="CS55" s="489"/>
      <c r="CT55" s="489"/>
      <c r="CU55" s="489"/>
      <c r="CV55" s="489"/>
      <c r="CW55" s="489"/>
      <c r="CX55" s="489"/>
      <c r="CY55" s="489"/>
      <c r="CZ55" s="489"/>
      <c r="DA55" s="489"/>
      <c r="DB55" s="489"/>
      <c r="DC55" s="489"/>
      <c r="DD55" s="489"/>
      <c r="DE55" s="489"/>
      <c r="DF55" s="489"/>
      <c r="DG55" s="489"/>
      <c r="DH55" s="489"/>
    </row>
    <row r="56" spans="1:112" s="491" customFormat="1" ht="17.100000000000001" customHeight="1">
      <c r="A56" s="95" t="s">
        <v>68</v>
      </c>
      <c r="B56" s="223" t="s">
        <v>211</v>
      </c>
      <c r="C56" s="51" t="s">
        <v>30</v>
      </c>
      <c r="D56" s="298">
        <f t="shared" si="6"/>
        <v>0</v>
      </c>
      <c r="E56" s="298">
        <f t="shared" si="16"/>
        <v>0</v>
      </c>
      <c r="F56" s="298">
        <f t="shared" si="7"/>
        <v>0</v>
      </c>
      <c r="G56" s="306">
        <f t="shared" si="17"/>
        <v>0</v>
      </c>
      <c r="H56" s="298">
        <v>0</v>
      </c>
      <c r="I56" s="298">
        <f t="shared" si="18"/>
        <v>0</v>
      </c>
      <c r="J56" s="255">
        <f>IF(H56=0,0,1)</f>
        <v>0</v>
      </c>
      <c r="K56" s="298">
        <v>0</v>
      </c>
      <c r="L56" s="306">
        <f t="shared" si="19"/>
        <v>0</v>
      </c>
      <c r="M56" s="298">
        <v>0</v>
      </c>
      <c r="N56" s="298">
        <f t="shared" si="20"/>
        <v>0</v>
      </c>
      <c r="O56" s="255">
        <f t="shared" si="13"/>
        <v>0</v>
      </c>
      <c r="P56" s="298">
        <v>0</v>
      </c>
      <c r="Q56" s="306">
        <f t="shared" si="8"/>
        <v>0</v>
      </c>
      <c r="R56" s="298">
        <v>0</v>
      </c>
      <c r="S56" s="298">
        <f t="shared" si="21"/>
        <v>0</v>
      </c>
      <c r="T56" s="255">
        <f t="shared" si="14"/>
        <v>0</v>
      </c>
      <c r="U56" s="298">
        <v>0</v>
      </c>
      <c r="V56" s="306">
        <f t="shared" si="9"/>
        <v>0</v>
      </c>
      <c r="W56" s="400"/>
      <c r="X56" s="400"/>
      <c r="Y56" s="161">
        <v>0</v>
      </c>
      <c r="Z56" s="77">
        <v>0</v>
      </c>
      <c r="AA56" s="71">
        <v>0</v>
      </c>
      <c r="AB56" s="77">
        <v>0</v>
      </c>
      <c r="AC56" s="71">
        <v>0</v>
      </c>
      <c r="AD56" s="72">
        <v>0</v>
      </c>
      <c r="AE56" s="71">
        <v>0</v>
      </c>
      <c r="AF56" s="72">
        <v>0</v>
      </c>
      <c r="AN56" s="489"/>
      <c r="AO56" s="489"/>
      <c r="AP56" s="489"/>
      <c r="AQ56" s="489"/>
      <c r="AR56" s="489"/>
      <c r="AS56" s="489"/>
      <c r="AT56" s="489"/>
      <c r="AU56" s="489"/>
      <c r="AV56" s="489"/>
      <c r="AW56" s="489"/>
      <c r="AX56" s="489"/>
      <c r="AY56" s="489"/>
      <c r="AZ56" s="489"/>
      <c r="BA56" s="489"/>
      <c r="BB56" s="489"/>
      <c r="BC56" s="489"/>
      <c r="BD56" s="489"/>
      <c r="BE56" s="489"/>
      <c r="BF56" s="489"/>
      <c r="BG56" s="489"/>
      <c r="BH56" s="489"/>
      <c r="BI56" s="489"/>
      <c r="BJ56" s="489"/>
      <c r="BK56" s="489"/>
      <c r="BL56" s="489"/>
      <c r="BM56" s="489"/>
      <c r="BN56" s="489"/>
      <c r="BO56" s="489"/>
      <c r="BP56" s="489"/>
      <c r="BQ56" s="489"/>
      <c r="BR56" s="489"/>
      <c r="BS56" s="489"/>
      <c r="BT56" s="489"/>
      <c r="BU56" s="489"/>
      <c r="BV56" s="489"/>
      <c r="BW56" s="489"/>
      <c r="BX56" s="489"/>
      <c r="BY56" s="489"/>
      <c r="BZ56" s="489"/>
      <c r="CA56" s="489"/>
      <c r="CB56" s="489"/>
      <c r="CC56" s="489"/>
      <c r="CD56" s="489"/>
      <c r="CE56" s="489"/>
      <c r="CF56" s="489"/>
      <c r="CG56" s="489"/>
      <c r="CH56" s="489"/>
      <c r="CI56" s="489"/>
      <c r="CJ56" s="489"/>
      <c r="CK56" s="489"/>
      <c r="CL56" s="489"/>
      <c r="CM56" s="489"/>
      <c r="CN56" s="489"/>
      <c r="CO56" s="489"/>
      <c r="CP56" s="489"/>
      <c r="CQ56" s="489"/>
      <c r="CR56" s="489"/>
      <c r="CS56" s="489"/>
      <c r="CT56" s="489"/>
      <c r="CU56" s="489"/>
      <c r="CV56" s="489"/>
      <c r="CW56" s="489"/>
      <c r="CX56" s="489"/>
      <c r="CY56" s="489"/>
      <c r="CZ56" s="489"/>
      <c r="DA56" s="489"/>
      <c r="DB56" s="489"/>
      <c r="DC56" s="489"/>
      <c r="DD56" s="489"/>
      <c r="DE56" s="489"/>
      <c r="DF56" s="489"/>
      <c r="DG56" s="489"/>
      <c r="DH56" s="489"/>
    </row>
    <row r="57" spans="1:112" s="491" customFormat="1" ht="17.25" customHeight="1">
      <c r="A57" s="95" t="s">
        <v>70</v>
      </c>
      <c r="B57" s="223" t="s">
        <v>72</v>
      </c>
      <c r="C57" s="51" t="s">
        <v>30</v>
      </c>
      <c r="D57" s="309">
        <f t="shared" si="6"/>
        <v>1347.08</v>
      </c>
      <c r="E57" s="298">
        <f t="shared" si="16"/>
        <v>5.58</v>
      </c>
      <c r="F57" s="309">
        <f t="shared" si="7"/>
        <v>0</v>
      </c>
      <c r="G57" s="306">
        <f t="shared" si="17"/>
        <v>0</v>
      </c>
      <c r="H57" s="298">
        <v>0</v>
      </c>
      <c r="I57" s="298">
        <f t="shared" si="18"/>
        <v>0</v>
      </c>
      <c r="J57" s="255">
        <f>IF(H57=0,0,1)</f>
        <v>0</v>
      </c>
      <c r="K57" s="298">
        <v>0</v>
      </c>
      <c r="L57" s="306">
        <f t="shared" si="19"/>
        <v>0</v>
      </c>
      <c r="M57" s="298">
        <v>1014.29</v>
      </c>
      <c r="N57" s="298">
        <f t="shared" si="20"/>
        <v>37.229999999999997</v>
      </c>
      <c r="O57" s="255">
        <f t="shared" si="13"/>
        <v>1</v>
      </c>
      <c r="P57" s="298">
        <v>0</v>
      </c>
      <c r="Q57" s="306">
        <f t="shared" si="8"/>
        <v>0</v>
      </c>
      <c r="R57" s="298">
        <v>332.79</v>
      </c>
      <c r="S57" s="298">
        <f t="shared" si="21"/>
        <v>37.229999999999997</v>
      </c>
      <c r="T57" s="255">
        <f t="shared" si="14"/>
        <v>1</v>
      </c>
      <c r="U57" s="298">
        <v>0</v>
      </c>
      <c r="V57" s="306">
        <f t="shared" si="9"/>
        <v>0</v>
      </c>
      <c r="W57" s="400"/>
      <c r="X57" s="400"/>
      <c r="Y57" s="161">
        <v>0</v>
      </c>
      <c r="Z57" s="77">
        <v>0</v>
      </c>
      <c r="AA57" s="71">
        <v>0</v>
      </c>
      <c r="AB57" s="77">
        <v>0</v>
      </c>
      <c r="AC57" s="71">
        <v>0</v>
      </c>
      <c r="AD57" s="72">
        <v>0</v>
      </c>
      <c r="AE57" s="71">
        <v>0</v>
      </c>
      <c r="AF57" s="72">
        <v>0</v>
      </c>
      <c r="AG57" s="528"/>
      <c r="AH57" s="1100" t="s">
        <v>126</v>
      </c>
      <c r="AI57" s="1100"/>
      <c r="AJ57" s="1100" t="s">
        <v>223</v>
      </c>
      <c r="AK57" s="1100"/>
      <c r="AL57" s="1100" t="s">
        <v>162</v>
      </c>
      <c r="AM57" s="1100"/>
      <c r="AN57" s="489"/>
      <c r="AO57" s="489"/>
      <c r="AP57" s="489"/>
      <c r="AQ57" s="489"/>
      <c r="AR57" s="489"/>
      <c r="AS57" s="489"/>
      <c r="AT57" s="489"/>
      <c r="AU57" s="489"/>
      <c r="AV57" s="489"/>
      <c r="AW57" s="489"/>
      <c r="AX57" s="489"/>
      <c r="AY57" s="489"/>
      <c r="AZ57" s="489"/>
      <c r="BA57" s="489"/>
      <c r="BB57" s="489"/>
      <c r="BC57" s="489"/>
      <c r="BD57" s="489"/>
      <c r="BE57" s="489"/>
      <c r="BF57" s="489"/>
      <c r="BG57" s="489"/>
      <c r="BH57" s="489"/>
      <c r="BI57" s="489"/>
      <c r="BJ57" s="489"/>
      <c r="BK57" s="489"/>
      <c r="BL57" s="489"/>
      <c r="BM57" s="489"/>
      <c r="BN57" s="489"/>
      <c r="BO57" s="489"/>
      <c r="BP57" s="489"/>
      <c r="BQ57" s="489"/>
      <c r="BR57" s="489"/>
      <c r="BS57" s="489"/>
      <c r="BT57" s="489"/>
      <c r="BU57" s="489"/>
      <c r="BV57" s="489"/>
      <c r="BW57" s="489"/>
      <c r="BX57" s="489"/>
      <c r="BY57" s="489"/>
      <c r="BZ57" s="489"/>
      <c r="CA57" s="489"/>
      <c r="CB57" s="489"/>
      <c r="CC57" s="489"/>
      <c r="CD57" s="489"/>
      <c r="CE57" s="489"/>
      <c r="CF57" s="489"/>
      <c r="CG57" s="489"/>
      <c r="CH57" s="489"/>
      <c r="CI57" s="489"/>
      <c r="CJ57" s="489"/>
      <c r="CK57" s="489"/>
      <c r="CL57" s="489"/>
      <c r="CM57" s="489"/>
      <c r="CN57" s="489"/>
      <c r="CO57" s="489"/>
      <c r="CP57" s="489"/>
      <c r="CQ57" s="489"/>
      <c r="CR57" s="489"/>
      <c r="CS57" s="489"/>
      <c r="CT57" s="489"/>
      <c r="CU57" s="489"/>
      <c r="CV57" s="489"/>
      <c r="CW57" s="489"/>
      <c r="CX57" s="489"/>
      <c r="CY57" s="489"/>
      <c r="CZ57" s="489"/>
      <c r="DA57" s="489"/>
      <c r="DB57" s="489"/>
      <c r="DC57" s="489"/>
      <c r="DD57" s="489"/>
      <c r="DE57" s="489"/>
      <c r="DF57" s="489"/>
      <c r="DG57" s="489"/>
      <c r="DH57" s="489"/>
    </row>
    <row r="58" spans="1:112" s="491" customFormat="1" ht="36.75" customHeight="1">
      <c r="A58" s="95" t="s">
        <v>71</v>
      </c>
      <c r="B58" s="223" t="s">
        <v>203</v>
      </c>
      <c r="C58" s="51" t="s">
        <v>30</v>
      </c>
      <c r="D58" s="309">
        <f t="shared" si="6"/>
        <v>0</v>
      </c>
      <c r="E58" s="298">
        <f t="shared" si="16"/>
        <v>0</v>
      </c>
      <c r="F58" s="298">
        <f t="shared" si="7"/>
        <v>0</v>
      </c>
      <c r="G58" s="306">
        <f t="shared" si="17"/>
        <v>0</v>
      </c>
      <c r="H58" s="298">
        <v>0</v>
      </c>
      <c r="I58" s="298">
        <f t="shared" si="18"/>
        <v>0</v>
      </c>
      <c r="J58" s="255">
        <f>IF(H58=0,0,K58/H58)</f>
        <v>0</v>
      </c>
      <c r="K58" s="298">
        <v>0</v>
      </c>
      <c r="L58" s="306">
        <f t="shared" si="19"/>
        <v>0</v>
      </c>
      <c r="M58" s="298">
        <v>0</v>
      </c>
      <c r="N58" s="298">
        <f t="shared" si="20"/>
        <v>0</v>
      </c>
      <c r="O58" s="255">
        <f>IF(M58=0,0,P58/M58)</f>
        <v>0</v>
      </c>
      <c r="P58" s="298">
        <v>0</v>
      </c>
      <c r="Q58" s="306">
        <f t="shared" si="8"/>
        <v>0</v>
      </c>
      <c r="R58" s="298">
        <v>0</v>
      </c>
      <c r="S58" s="298">
        <f t="shared" si="21"/>
        <v>0</v>
      </c>
      <c r="T58" s="255">
        <f>IF(R58=0,0,U58/R58)</f>
        <v>0</v>
      </c>
      <c r="U58" s="298">
        <v>0</v>
      </c>
      <c r="V58" s="306">
        <f t="shared" si="9"/>
        <v>0</v>
      </c>
      <c r="W58" s="400"/>
      <c r="X58" s="400"/>
      <c r="Y58" s="161">
        <v>0</v>
      </c>
      <c r="Z58" s="77">
        <v>0</v>
      </c>
      <c r="AA58" s="71">
        <v>0</v>
      </c>
      <c r="AB58" s="77">
        <v>0</v>
      </c>
      <c r="AC58" s="71">
        <v>0</v>
      </c>
      <c r="AD58" s="72">
        <v>0</v>
      </c>
      <c r="AE58" s="71">
        <v>0</v>
      </c>
      <c r="AF58" s="72">
        <v>0</v>
      </c>
      <c r="AG58" s="528"/>
      <c r="AH58" s="529" t="s">
        <v>299</v>
      </c>
      <c r="AI58" s="529" t="s">
        <v>317</v>
      </c>
      <c r="AJ58" s="529" t="s">
        <v>299</v>
      </c>
      <c r="AK58" s="529" t="s">
        <v>317</v>
      </c>
      <c r="AL58" s="529" t="s">
        <v>299</v>
      </c>
      <c r="AM58" s="529" t="s">
        <v>317</v>
      </c>
      <c r="AN58" s="1121" t="s">
        <v>360</v>
      </c>
      <c r="AO58" s="1122"/>
      <c r="AP58" s="1122"/>
      <c r="AQ58" s="489"/>
      <c r="AR58" s="489"/>
      <c r="AS58" s="489"/>
      <c r="AT58" s="489"/>
      <c r="AU58" s="489"/>
      <c r="AV58" s="489"/>
      <c r="AW58" s="489"/>
      <c r="AX58" s="489"/>
      <c r="AY58" s="489"/>
      <c r="AZ58" s="489"/>
      <c r="BA58" s="489"/>
      <c r="BB58" s="489"/>
      <c r="BC58" s="489"/>
      <c r="BD58" s="489"/>
      <c r="BE58" s="489"/>
      <c r="BF58" s="489"/>
      <c r="BG58" s="489"/>
      <c r="BH58" s="489"/>
      <c r="BI58" s="489"/>
      <c r="BJ58" s="489"/>
      <c r="BK58" s="489"/>
      <c r="BL58" s="489"/>
      <c r="BM58" s="489"/>
      <c r="BN58" s="489"/>
      <c r="BO58" s="489"/>
      <c r="BP58" s="489"/>
      <c r="BQ58" s="489"/>
      <c r="BR58" s="489"/>
      <c r="BS58" s="489"/>
      <c r="BT58" s="489"/>
      <c r="BU58" s="489"/>
      <c r="BV58" s="489"/>
      <c r="BW58" s="489"/>
      <c r="BX58" s="489"/>
      <c r="BY58" s="489"/>
      <c r="BZ58" s="489"/>
      <c r="CA58" s="489"/>
      <c r="CB58" s="489"/>
      <c r="CC58" s="489"/>
      <c r="CD58" s="489"/>
      <c r="CE58" s="489"/>
      <c r="CF58" s="489"/>
      <c r="CG58" s="489"/>
      <c r="CH58" s="489"/>
      <c r="CI58" s="489"/>
      <c r="CJ58" s="489"/>
      <c r="CK58" s="489"/>
      <c r="CL58" s="489"/>
      <c r="CM58" s="489"/>
      <c r="CN58" s="489"/>
      <c r="CO58" s="489"/>
      <c r="CP58" s="489"/>
      <c r="CQ58" s="489"/>
      <c r="CR58" s="489"/>
      <c r="CS58" s="489"/>
      <c r="CT58" s="489"/>
      <c r="CU58" s="489"/>
      <c r="CV58" s="489"/>
      <c r="CW58" s="489"/>
      <c r="CX58" s="489"/>
      <c r="CY58" s="489"/>
      <c r="CZ58" s="489"/>
      <c r="DA58" s="489"/>
      <c r="DB58" s="489"/>
      <c r="DC58" s="489"/>
      <c r="DD58" s="489"/>
      <c r="DE58" s="489"/>
      <c r="DF58" s="489"/>
      <c r="DG58" s="489"/>
      <c r="DH58" s="489"/>
    </row>
    <row r="59" spans="1:112" s="380" customFormat="1" ht="45" customHeight="1">
      <c r="A59" s="313">
        <v>8</v>
      </c>
      <c r="B59" s="314" t="s">
        <v>74</v>
      </c>
      <c r="C59" s="481" t="s">
        <v>30</v>
      </c>
      <c r="D59" s="312">
        <f t="shared" si="6"/>
        <v>93097.48</v>
      </c>
      <c r="E59" s="305">
        <f t="shared" si="16"/>
        <v>385.51</v>
      </c>
      <c r="F59" s="312">
        <f t="shared" si="7"/>
        <v>287821.67</v>
      </c>
      <c r="G59" s="323">
        <f t="shared" si="17"/>
        <v>1191.8499999999999</v>
      </c>
      <c r="H59" s="312">
        <f>H51+H53</f>
        <v>60797.7</v>
      </c>
      <c r="I59" s="305">
        <f>ROUND(H59/$H$61*1000,2)</f>
        <v>296.13</v>
      </c>
      <c r="J59" s="316">
        <f>K59/H59</f>
        <v>3.7704</v>
      </c>
      <c r="K59" s="305">
        <f>K51+K52+K53</f>
        <v>229234.31</v>
      </c>
      <c r="L59" s="323">
        <f>ROUND(K59/$K$61*1000,2)</f>
        <v>1116.53</v>
      </c>
      <c r="M59" s="305">
        <f>M51+M53</f>
        <v>24320.28</v>
      </c>
      <c r="N59" s="305">
        <f>ROUND(M59/$M$61*1000,2)</f>
        <v>892.68</v>
      </c>
      <c r="O59" s="316">
        <f>P59/M59</f>
        <v>1.8139000000000001</v>
      </c>
      <c r="P59" s="305">
        <f>P51+P52+P53</f>
        <v>44113.64</v>
      </c>
      <c r="Q59" s="323">
        <f t="shared" si="8"/>
        <v>1619.2</v>
      </c>
      <c r="R59" s="305">
        <f>R51+R53</f>
        <v>7979.5</v>
      </c>
      <c r="S59" s="305">
        <f>ROUND(R59/$R$61*1000,2)</f>
        <v>892.68</v>
      </c>
      <c r="T59" s="316">
        <f>U59/R59</f>
        <v>1.8139000000000001</v>
      </c>
      <c r="U59" s="305">
        <f>U51+U52+U53</f>
        <v>14473.72</v>
      </c>
      <c r="V59" s="323">
        <f t="shared" si="9"/>
        <v>1619.2</v>
      </c>
      <c r="W59" s="526">
        <f>((V59*U61)+(Q59*P61)+(I59*H61))/F61</f>
        <v>494.37</v>
      </c>
      <c r="X59" s="401"/>
      <c r="Y59" s="162">
        <v>19399.560000000001</v>
      </c>
      <c r="Z59" s="74">
        <v>316.45999999999998</v>
      </c>
      <c r="AA59" s="75">
        <v>13189.5</v>
      </c>
      <c r="AB59" s="74">
        <v>252.78</v>
      </c>
      <c r="AC59" s="75">
        <v>4924.47</v>
      </c>
      <c r="AD59" s="74">
        <v>680.64</v>
      </c>
      <c r="AE59" s="75">
        <v>1285.5899999999999</v>
      </c>
      <c r="AF59" s="74">
        <v>680.64</v>
      </c>
      <c r="AG59" s="530" t="s">
        <v>298</v>
      </c>
      <c r="AH59" s="504">
        <v>12.1417</v>
      </c>
      <c r="AI59" s="504">
        <v>8.06</v>
      </c>
      <c r="AJ59" s="504">
        <v>12.1417</v>
      </c>
      <c r="AK59" s="504">
        <v>8.06</v>
      </c>
      <c r="AL59" s="504">
        <v>12.1417</v>
      </c>
      <c r="AM59" s="504">
        <v>8.06</v>
      </c>
      <c r="AN59" s="1121"/>
      <c r="AO59" s="1122"/>
      <c r="AP59" s="1122"/>
    </row>
    <row r="60" spans="1:112" s="380" customFormat="1" ht="36.75" customHeight="1">
      <c r="A60" s="52">
        <v>9</v>
      </c>
      <c r="B60" s="222" t="s">
        <v>115</v>
      </c>
      <c r="C60" s="509"/>
      <c r="D60" s="218"/>
      <c r="E60" s="218">
        <f>E59</f>
        <v>385.51</v>
      </c>
      <c r="F60" s="219"/>
      <c r="G60" s="324">
        <f>G59</f>
        <v>1191.8499999999999</v>
      </c>
      <c r="H60" s="218"/>
      <c r="I60" s="218">
        <f>I59</f>
        <v>296.13</v>
      </c>
      <c r="J60" s="219">
        <f>L60/I60</f>
        <v>3.7704</v>
      </c>
      <c r="K60" s="296"/>
      <c r="L60" s="323">
        <f>L59</f>
        <v>1116.53</v>
      </c>
      <c r="M60" s="296"/>
      <c r="N60" s="296">
        <f>N59</f>
        <v>892.68</v>
      </c>
      <c r="O60" s="219">
        <f>Q60/N60</f>
        <v>1.8139000000000001</v>
      </c>
      <c r="P60" s="296"/>
      <c r="Q60" s="323">
        <f>Q59</f>
        <v>1619.2</v>
      </c>
      <c r="R60" s="296"/>
      <c r="S60" s="296">
        <f>S59</f>
        <v>892.68</v>
      </c>
      <c r="T60" s="219">
        <f>V60/S60</f>
        <v>1.8139000000000001</v>
      </c>
      <c r="U60" s="296"/>
      <c r="V60" s="323">
        <f>V59</f>
        <v>1619.2</v>
      </c>
      <c r="W60" s="526">
        <f>((S59*R61)+(N59*M61)+(I59*H61))/D61</f>
        <v>385.51</v>
      </c>
      <c r="X60" s="401"/>
      <c r="Y60" s="163">
        <v>316.45999999999998</v>
      </c>
      <c r="Z60" s="74">
        <v>316.45999999999998</v>
      </c>
      <c r="AA60" s="74">
        <v>252.78</v>
      </c>
      <c r="AB60" s="74">
        <v>252.78</v>
      </c>
      <c r="AC60" s="74">
        <v>680.64</v>
      </c>
      <c r="AD60" s="74">
        <v>680.64</v>
      </c>
      <c r="AE60" s="74">
        <v>680.64</v>
      </c>
      <c r="AF60" s="74">
        <v>680.64</v>
      </c>
      <c r="AG60" s="411" t="s">
        <v>300</v>
      </c>
      <c r="AH60" s="504">
        <v>9.4167000000000005</v>
      </c>
      <c r="AI60" s="504">
        <v>9.4167000000000005</v>
      </c>
      <c r="AJ60" s="504">
        <v>9.4167000000000005</v>
      </c>
      <c r="AK60" s="504">
        <v>9.4167000000000005</v>
      </c>
      <c r="AL60" s="504">
        <v>9.4167000000000005</v>
      </c>
      <c r="AM60" s="504">
        <v>9.4167000000000005</v>
      </c>
    </row>
    <row r="61" spans="1:112" s="380" customFormat="1" ht="38.25" customHeight="1">
      <c r="A61" s="52">
        <v>10</v>
      </c>
      <c r="B61" s="222" t="s">
        <v>118</v>
      </c>
      <c r="C61" s="15" t="s">
        <v>76</v>
      </c>
      <c r="D61" s="70">
        <f>H61+M61+R61</f>
        <v>241491.87</v>
      </c>
      <c r="E61" s="219"/>
      <c r="F61" s="70">
        <f>H61+P61+U61</f>
        <v>241491.87</v>
      </c>
      <c r="G61" s="310"/>
      <c r="H61" s="70">
        <v>205308.92</v>
      </c>
      <c r="I61" s="218"/>
      <c r="J61" s="219">
        <f>K61/H61</f>
        <v>1</v>
      </c>
      <c r="K61" s="297">
        <f>H61</f>
        <v>205308.92</v>
      </c>
      <c r="L61" s="305"/>
      <c r="M61" s="296">
        <v>27244.13</v>
      </c>
      <c r="N61" s="296"/>
      <c r="O61" s="219">
        <f>P61/M61</f>
        <v>1</v>
      </c>
      <c r="P61" s="296">
        <f>M61</f>
        <v>27244.13</v>
      </c>
      <c r="Q61" s="305"/>
      <c r="R61" s="296">
        <v>8938.82</v>
      </c>
      <c r="S61" s="296"/>
      <c r="T61" s="219">
        <f>U61/R61</f>
        <v>1</v>
      </c>
      <c r="U61" s="296">
        <f>R61</f>
        <v>8938.82</v>
      </c>
      <c r="V61" s="305"/>
      <c r="W61" s="402"/>
      <c r="X61" s="402"/>
      <c r="AG61" s="411" t="s">
        <v>301</v>
      </c>
      <c r="AH61" s="504">
        <f t="shared" ref="AH61:AM61" si="22">SUM(AH46:AH60)</f>
        <v>21.558399999999999</v>
      </c>
      <c r="AI61" s="504">
        <f t="shared" si="22"/>
        <v>17.476700000000001</v>
      </c>
      <c r="AJ61" s="504">
        <f>SUM(AJ50:AJ60)</f>
        <v>21.558399999999999</v>
      </c>
      <c r="AK61" s="504">
        <f t="shared" si="22"/>
        <v>17.476700000000001</v>
      </c>
      <c r="AL61" s="504">
        <f t="shared" si="22"/>
        <v>21.558399999999999</v>
      </c>
      <c r="AM61" s="504">
        <f t="shared" si="22"/>
        <v>17.476700000000001</v>
      </c>
    </row>
    <row r="62" spans="1:112" s="380" customFormat="1" ht="15" customHeight="1">
      <c r="A62" s="52">
        <v>11</v>
      </c>
      <c r="B62" s="222" t="s">
        <v>204</v>
      </c>
      <c r="C62" s="15"/>
      <c r="D62" s="218">
        <f>D53/D51*100</f>
        <v>1.47</v>
      </c>
      <c r="E62" s="218">
        <f t="shared" ref="E62:V62" si="23">E53/E51*100</f>
        <v>1.47</v>
      </c>
      <c r="F62" s="218">
        <f t="shared" si="23"/>
        <v>0</v>
      </c>
      <c r="G62" s="310">
        <f t="shared" si="23"/>
        <v>0</v>
      </c>
      <c r="H62" s="218">
        <f t="shared" si="23"/>
        <v>0</v>
      </c>
      <c r="I62" s="221">
        <f t="shared" si="23"/>
        <v>0</v>
      </c>
      <c r="J62" s="255">
        <f>IF(H62=0,0,K62/H62)</f>
        <v>0</v>
      </c>
      <c r="K62" s="296">
        <f>K53/K51*100</f>
        <v>0</v>
      </c>
      <c r="L62" s="305">
        <f>L53/L51*100</f>
        <v>0</v>
      </c>
      <c r="M62" s="296">
        <f t="shared" si="23"/>
        <v>4.3499999999999996</v>
      </c>
      <c r="N62" s="296">
        <f t="shared" si="23"/>
        <v>4.3499999999999996</v>
      </c>
      <c r="O62" s="219">
        <f>P62/N62</f>
        <v>0</v>
      </c>
      <c r="P62" s="296">
        <f t="shared" si="23"/>
        <v>0</v>
      </c>
      <c r="Q62" s="305">
        <f t="shared" si="23"/>
        <v>0</v>
      </c>
      <c r="R62" s="296">
        <f t="shared" si="23"/>
        <v>4.3499999999999996</v>
      </c>
      <c r="S62" s="296">
        <f t="shared" si="23"/>
        <v>4.3499999999999996</v>
      </c>
      <c r="T62" s="219">
        <f>U62/R62</f>
        <v>0</v>
      </c>
      <c r="U62" s="296">
        <f t="shared" si="23"/>
        <v>0</v>
      </c>
      <c r="V62" s="305">
        <f t="shared" si="23"/>
        <v>0</v>
      </c>
      <c r="W62" s="402"/>
      <c r="X62" s="402"/>
    </row>
    <row r="63" spans="1:112" s="531" customFormat="1" ht="19.5" hidden="1" customHeight="1">
      <c r="A63" s="52">
        <v>12</v>
      </c>
      <c r="B63" s="222" t="s">
        <v>226</v>
      </c>
      <c r="C63" s="15"/>
      <c r="D63" s="218"/>
      <c r="E63" s="218"/>
      <c r="F63" s="218"/>
      <c r="G63" s="310"/>
      <c r="H63" s="218"/>
      <c r="I63" s="221"/>
      <c r="J63" s="255">
        <f>IF(H63=0,0,K63/H63)</f>
        <v>0</v>
      </c>
      <c r="K63" s="296"/>
      <c r="L63" s="305"/>
      <c r="M63" s="296"/>
      <c r="N63" s="296"/>
      <c r="O63" s="255">
        <f>IF(M63=0,0,P63/M63)</f>
        <v>0</v>
      </c>
      <c r="P63" s="296"/>
      <c r="Q63" s="305"/>
      <c r="R63" s="296"/>
      <c r="S63" s="296"/>
      <c r="T63" s="255">
        <f>IF(R63=0,0,U63/R63)</f>
        <v>0</v>
      </c>
      <c r="U63" s="296"/>
      <c r="V63" s="305"/>
      <c r="W63" s="402"/>
      <c r="X63" s="402"/>
    </row>
    <row r="64" spans="1:112" s="522" customFormat="1" ht="22.5" hidden="1" customHeight="1">
      <c r="A64" s="52">
        <v>13</v>
      </c>
      <c r="B64" s="222" t="s">
        <v>247</v>
      </c>
      <c r="C64" s="15"/>
      <c r="D64" s="218"/>
      <c r="E64" s="218"/>
      <c r="F64" s="218"/>
      <c r="G64" s="310"/>
      <c r="H64" s="218"/>
      <c r="I64" s="221"/>
      <c r="J64" s="255">
        <f>IF(H64=0,0,K64/H64)</f>
        <v>0</v>
      </c>
      <c r="K64" s="296"/>
      <c r="L64" s="305"/>
      <c r="M64" s="296"/>
      <c r="N64" s="296"/>
      <c r="O64" s="255">
        <f>IF(M64=0,0,P64/M64)</f>
        <v>0</v>
      </c>
      <c r="P64" s="296"/>
      <c r="Q64" s="305"/>
      <c r="R64" s="296"/>
      <c r="S64" s="296"/>
      <c r="T64" s="255">
        <f>IF(R64=0,0,U64/R64)</f>
        <v>0</v>
      </c>
      <c r="U64" s="296"/>
      <c r="V64" s="305"/>
      <c r="W64" s="402"/>
      <c r="X64" s="402"/>
    </row>
    <row r="65" spans="1:38" s="491" customFormat="1" ht="15.75" customHeight="1">
      <c r="A65" s="319">
        <v>12</v>
      </c>
      <c r="B65" s="223" t="s">
        <v>262</v>
      </c>
      <c r="C65" s="51"/>
      <c r="D65" s="220"/>
      <c r="E65" s="220"/>
      <c r="F65" s="220"/>
      <c r="G65" s="311"/>
      <c r="H65" s="220"/>
      <c r="I65" s="220">
        <v>75.11</v>
      </c>
      <c r="J65" s="255">
        <f>L65/I65</f>
        <v>1.9080999999999999</v>
      </c>
      <c r="K65" s="298"/>
      <c r="L65" s="306">
        <f>AR32</f>
        <v>143.32</v>
      </c>
      <c r="M65" s="298"/>
      <c r="N65" s="298">
        <v>75.11</v>
      </c>
      <c r="O65" s="255">
        <f>Q65/N65</f>
        <v>2.0072000000000001</v>
      </c>
      <c r="P65" s="298"/>
      <c r="Q65" s="306">
        <f>AK42</f>
        <v>150.76</v>
      </c>
      <c r="R65" s="298"/>
      <c r="S65" s="298">
        <v>75.11</v>
      </c>
      <c r="T65" s="255">
        <f>V65/S65</f>
        <v>2.0070999999999999</v>
      </c>
      <c r="U65" s="298"/>
      <c r="V65" s="306">
        <f>AO42</f>
        <v>150.75</v>
      </c>
      <c r="W65" s="403"/>
      <c r="X65" s="403"/>
      <c r="AG65" s="451" t="s">
        <v>378</v>
      </c>
      <c r="AH65" s="424"/>
      <c r="AI65" s="424"/>
      <c r="AJ65" s="424"/>
      <c r="AK65" s="424"/>
      <c r="AL65" s="424"/>
    </row>
    <row r="66" spans="1:38" s="491" customFormat="1" ht="16.5" customHeight="1">
      <c r="A66" s="319">
        <v>13</v>
      </c>
      <c r="B66" s="223" t="s">
        <v>263</v>
      </c>
      <c r="C66" s="51"/>
      <c r="D66" s="220"/>
      <c r="E66" s="220"/>
      <c r="F66" s="220"/>
      <c r="G66" s="311"/>
      <c r="H66" s="220"/>
      <c r="I66" s="220">
        <v>95.61</v>
      </c>
      <c r="J66" s="255">
        <f>L66/I66</f>
        <v>1.9081999999999999</v>
      </c>
      <c r="K66" s="298"/>
      <c r="L66" s="306">
        <f>AR33</f>
        <v>182.44</v>
      </c>
      <c r="M66" s="298"/>
      <c r="N66" s="298">
        <v>95.61</v>
      </c>
      <c r="O66" s="255">
        <f>Q66/N66</f>
        <v>2.0070999999999999</v>
      </c>
      <c r="P66" s="298"/>
      <c r="Q66" s="306">
        <f>AK43</f>
        <v>191.9</v>
      </c>
      <c r="R66" s="298"/>
      <c r="S66" s="298">
        <v>95.61</v>
      </c>
      <c r="T66" s="255">
        <f>V66/S66</f>
        <v>2.0070999999999999</v>
      </c>
      <c r="U66" s="298"/>
      <c r="V66" s="306">
        <f>AO43</f>
        <v>191.9</v>
      </c>
      <c r="W66" s="403"/>
      <c r="X66" s="403"/>
      <c r="AG66" s="426"/>
      <c r="AH66" s="452"/>
      <c r="AI66" s="452" t="s">
        <v>308</v>
      </c>
      <c r="AJ66" s="452" t="s">
        <v>309</v>
      </c>
      <c r="AK66" s="452" t="s">
        <v>336</v>
      </c>
      <c r="AL66" s="452" t="s">
        <v>314</v>
      </c>
    </row>
    <row r="67" spans="1:38" s="522" customFormat="1" ht="22.5" customHeight="1">
      <c r="A67" s="52">
        <v>14</v>
      </c>
      <c r="B67" s="224" t="s">
        <v>264</v>
      </c>
      <c r="C67" s="15"/>
      <c r="D67" s="218"/>
      <c r="E67" s="218"/>
      <c r="F67" s="218"/>
      <c r="G67" s="310"/>
      <c r="H67" s="218"/>
      <c r="I67" s="218">
        <v>3386</v>
      </c>
      <c r="J67" s="255">
        <f>L67/I67</f>
        <v>1.2884</v>
      </c>
      <c r="K67" s="296"/>
      <c r="L67" s="305">
        <v>4362.6499999999996</v>
      </c>
      <c r="M67" s="296"/>
      <c r="N67" s="296">
        <v>3386</v>
      </c>
      <c r="O67" s="255">
        <f>Q67/N67</f>
        <v>1.2884</v>
      </c>
      <c r="P67" s="296"/>
      <c r="Q67" s="305">
        <f>L67</f>
        <v>4362.6499999999996</v>
      </c>
      <c r="R67" s="296"/>
      <c r="S67" s="297">
        <v>3386</v>
      </c>
      <c r="T67" s="255">
        <f>V67/S67</f>
        <v>1.2884</v>
      </c>
      <c r="U67" s="296"/>
      <c r="V67" s="305">
        <f>L67</f>
        <v>4362.6499999999996</v>
      </c>
      <c r="W67" s="402"/>
      <c r="X67" s="402"/>
      <c r="AG67" s="1088" t="s">
        <v>335</v>
      </c>
      <c r="AH67" s="590" t="s">
        <v>337</v>
      </c>
      <c r="AI67" s="591">
        <f>AI69/1.22</f>
        <v>13640.6273425</v>
      </c>
      <c r="AJ67" s="591">
        <f>AJ69/1.22</f>
        <v>1810.0870500999999</v>
      </c>
      <c r="AK67" s="591">
        <f>AK69/1.22</f>
        <v>593.89108569999996</v>
      </c>
      <c r="AL67" s="591">
        <f>SUM(AI67:AK67)</f>
        <v>16044.6054783</v>
      </c>
    </row>
    <row r="68" spans="1:38" ht="28.5" customHeight="1">
      <c r="A68" s="1069" t="s">
        <v>227</v>
      </c>
      <c r="B68" s="1069"/>
      <c r="C68" s="217"/>
      <c r="D68" s="217"/>
      <c r="E68" s="217"/>
      <c r="F68" s="217"/>
      <c r="G68" s="217"/>
      <c r="H68" s="1069" t="s">
        <v>228</v>
      </c>
      <c r="I68" s="1069"/>
      <c r="J68" s="1069"/>
      <c r="K68" s="1069"/>
      <c r="L68" s="1069"/>
      <c r="M68" s="217"/>
      <c r="N68" s="217"/>
      <c r="O68" s="217"/>
      <c r="P68" s="164"/>
      <c r="Q68" s="164"/>
      <c r="R68" s="1069"/>
      <c r="S68" s="1069"/>
      <c r="T68" s="1069"/>
      <c r="U68" s="1069"/>
      <c r="V68" s="1069"/>
      <c r="W68" s="217"/>
      <c r="X68" s="217"/>
      <c r="AG68" s="1088"/>
      <c r="AH68" s="590" t="s">
        <v>338</v>
      </c>
      <c r="AI68" s="592">
        <f>AI69-AI67</f>
        <v>3000.9380153000002</v>
      </c>
      <c r="AJ68" s="592">
        <f>AJ69-AJ67</f>
        <v>398.21915100000001</v>
      </c>
      <c r="AK68" s="592">
        <f>AK69-AK67</f>
        <v>130.6560389</v>
      </c>
      <c r="AL68" s="591">
        <f t="shared" ref="AL68:AL78" si="24">SUM(AI68:AK68)</f>
        <v>3529.8132052000001</v>
      </c>
    </row>
    <row r="69" spans="1:38" ht="15.75">
      <c r="A69" s="1070" t="s">
        <v>229</v>
      </c>
      <c r="B69" s="1070"/>
      <c r="H69" s="1070" t="s">
        <v>230</v>
      </c>
      <c r="I69" s="1070"/>
      <c r="J69" s="1070"/>
      <c r="K69" s="1070"/>
      <c r="L69" s="1070"/>
      <c r="R69" s="1070" t="s">
        <v>231</v>
      </c>
      <c r="S69" s="1070"/>
      <c r="T69" s="1070"/>
      <c r="U69" s="1070"/>
      <c r="V69" s="1070"/>
      <c r="W69" s="396"/>
      <c r="X69" s="396"/>
      <c r="AG69" s="1088"/>
      <c r="AH69" s="593" t="s">
        <v>339</v>
      </c>
      <c r="AI69" s="594">
        <v>16641.565357799998</v>
      </c>
      <c r="AJ69" s="595">
        <v>2208.3062011000002</v>
      </c>
      <c r="AK69" s="595">
        <v>724.54712459999996</v>
      </c>
      <c r="AL69" s="595">
        <f t="shared" si="24"/>
        <v>19574.4186835</v>
      </c>
    </row>
    <row r="70" spans="1:38" ht="14.25">
      <c r="AG70" s="1089" t="s">
        <v>340</v>
      </c>
      <c r="AH70" s="590" t="s">
        <v>337</v>
      </c>
      <c r="AI70" s="591">
        <f>AI72/1.22</f>
        <v>184.1813473</v>
      </c>
      <c r="AJ70" s="591">
        <f>AJ72/1.22</f>
        <v>24.440538</v>
      </c>
      <c r="AK70" s="591">
        <f>AK72/1.22</f>
        <v>8.0189611000000003</v>
      </c>
      <c r="AL70" s="591">
        <f t="shared" si="24"/>
        <v>216.64084639999999</v>
      </c>
    </row>
    <row r="71" spans="1:38" ht="15">
      <c r="AG71" s="1089"/>
      <c r="AH71" s="590" t="s">
        <v>338</v>
      </c>
      <c r="AI71" s="592">
        <f>AI72-AI70</f>
        <v>40.5198964</v>
      </c>
      <c r="AJ71" s="592">
        <f>AJ72-AJ70</f>
        <v>5.3769184000000001</v>
      </c>
      <c r="AK71" s="592">
        <f>AK72-AK70</f>
        <v>1.7641715</v>
      </c>
      <c r="AL71" s="591">
        <f t="shared" si="24"/>
        <v>47.660986299999998</v>
      </c>
    </row>
    <row r="72" spans="1:38" ht="15">
      <c r="AG72" s="1089"/>
      <c r="AH72" s="593" t="s">
        <v>339</v>
      </c>
      <c r="AI72" s="594">
        <v>224.70124369999999</v>
      </c>
      <c r="AJ72" s="594">
        <v>29.817456400000001</v>
      </c>
      <c r="AK72" s="594">
        <v>9.7831326000000001</v>
      </c>
      <c r="AL72" s="595">
        <f t="shared" si="24"/>
        <v>264.30183269999998</v>
      </c>
    </row>
    <row r="73" spans="1:38" ht="14.25">
      <c r="AG73" s="1090" t="s">
        <v>341</v>
      </c>
      <c r="AH73" s="590" t="s">
        <v>337</v>
      </c>
      <c r="AI73" s="591">
        <f>AI75/1.22</f>
        <v>2125.1961839000001</v>
      </c>
      <c r="AJ73" s="591">
        <f>AJ75/1.22</f>
        <v>282.00976350000002</v>
      </c>
      <c r="AK73" s="591">
        <f>AK75/1.22</f>
        <v>92.527641000000003</v>
      </c>
      <c r="AL73" s="591">
        <f t="shared" si="24"/>
        <v>2499.7335883999999</v>
      </c>
    </row>
    <row r="74" spans="1:38" ht="15">
      <c r="AG74" s="1090"/>
      <c r="AH74" s="590" t="s">
        <v>338</v>
      </c>
      <c r="AI74" s="592">
        <f>AI75-AI73</f>
        <v>467.54316039999998</v>
      </c>
      <c r="AJ74" s="592">
        <f>AJ75-AJ73</f>
        <v>62.042147999999997</v>
      </c>
      <c r="AK74" s="592">
        <f>AK75-AK73</f>
        <v>20.356081</v>
      </c>
      <c r="AL74" s="591">
        <f t="shared" si="24"/>
        <v>549.94138940000005</v>
      </c>
    </row>
    <row r="75" spans="1:38" ht="15">
      <c r="AG75" s="1090"/>
      <c r="AH75" s="593" t="s">
        <v>339</v>
      </c>
      <c r="AI75" s="594">
        <v>2592.7393443000001</v>
      </c>
      <c r="AJ75" s="594">
        <v>344.05191150000002</v>
      </c>
      <c r="AK75" s="594">
        <v>112.88372200000001</v>
      </c>
      <c r="AL75" s="595">
        <f t="shared" si="24"/>
        <v>3049.6749777999999</v>
      </c>
    </row>
    <row r="76" spans="1:38" ht="15">
      <c r="AG76" s="1089" t="s">
        <v>314</v>
      </c>
      <c r="AH76" s="596" t="s">
        <v>337</v>
      </c>
      <c r="AI76" s="592">
        <f>AI67+AI70+AI73</f>
        <v>15950.0048737</v>
      </c>
      <c r="AJ76" s="592">
        <f>AJ67+AJ70+AJ73</f>
        <v>2116.5373516</v>
      </c>
      <c r="AK76" s="592">
        <f>AK67+AK70+AK73</f>
        <v>694.43768780000005</v>
      </c>
      <c r="AL76" s="595">
        <f t="shared" si="24"/>
        <v>18760.9799131</v>
      </c>
    </row>
    <row r="77" spans="1:38" ht="15">
      <c r="AG77" s="1089"/>
      <c r="AH77" s="596" t="s">
        <v>338</v>
      </c>
      <c r="AI77" s="592">
        <f t="shared" ref="AI77:AK78" si="25">AI68+AI71+AI74</f>
        <v>3509.0010720999999</v>
      </c>
      <c r="AJ77" s="592">
        <f t="shared" si="25"/>
        <v>465.63821739999997</v>
      </c>
      <c r="AK77" s="592">
        <f t="shared" si="25"/>
        <v>152.77629139999999</v>
      </c>
      <c r="AL77" s="595">
        <f t="shared" si="24"/>
        <v>4127.4155809000004</v>
      </c>
    </row>
    <row r="78" spans="1:38" ht="15">
      <c r="AG78" s="1089"/>
      <c r="AH78" s="593" t="s">
        <v>339</v>
      </c>
      <c r="AI78" s="594">
        <f t="shared" si="25"/>
        <v>19459.0059458</v>
      </c>
      <c r="AJ78" s="594">
        <f t="shared" si="25"/>
        <v>2582.175569</v>
      </c>
      <c r="AK78" s="594">
        <f t="shared" si="25"/>
        <v>847.21397920000004</v>
      </c>
      <c r="AL78" s="595">
        <f t="shared" si="24"/>
        <v>22888.395494</v>
      </c>
    </row>
  </sheetData>
  <sheetProtection formatCells="0" selectLockedCells="1" selectUnlockedCells="1"/>
  <customSheetViews>
    <customSheetView guid="{8839ED87-9C42-4CC2-A1AD-6EF9611832A1}" scale="70" showPageBreaks="1" printArea="1" hiddenRows="1" hiddenColumns="1" view="pageBreakPreview">
      <pane xSplit="2" ySplit="7" topLeftCell="D8" activePane="bottomRight" state="frozen"/>
      <selection pane="bottomRight" activeCell="J17" sqref="J17"/>
      <pageMargins left="0.15748031496062992" right="0.15748031496062992" top="0.19685039370078741" bottom="0.15748031496062992" header="0" footer="0"/>
      <printOptions horizontalCentered="1"/>
      <pageSetup paperSize="9" scale="58" orientation="landscape" useFirstPageNumber="1" verticalDpi="300" r:id="rId1"/>
      <headerFooter alignWithMargins="0"/>
    </customSheetView>
    <customSheetView guid="{B233FDC7-B79B-43AD-9288-8B6C8ACB6ACB}" scale="85" showPageBreaks="1" view="pageBreakPreview">
      <pane xSplit="2" ySplit="11" topLeftCell="D15" activePane="bottomRight" state="frozen"/>
      <selection pane="bottomRight" activeCell="I21" sqref="I21"/>
      <pageMargins left="0.17" right="0.17" top="0.2" bottom="0.15748031496062992" header="0" footer="0"/>
      <pageSetup paperSize="9" scale="58" orientation="landscape" useFirstPageNumber="1" verticalDpi="300" r:id="rId2"/>
      <headerFooter alignWithMargins="0"/>
    </customSheetView>
    <customSheetView guid="{BF9F446D-D2F9-4EAA-BD71-B531E336462E}" scale="70" showPageBreaks="1" printArea="1" hiddenRows="1" hiddenColumns="1" view="pageBreakPreview">
      <pane xSplit="2" ySplit="7" topLeftCell="F39" activePane="bottomRight" state="frozen"/>
      <selection pane="bottomRight" activeCell="O16" sqref="O16"/>
      <pageMargins left="0.17" right="0.17" top="0.2" bottom="0.15748031496062992" header="0" footer="0"/>
      <pageSetup paperSize="9" scale="58" orientation="landscape" useFirstPageNumber="1" verticalDpi="300" r:id="rId3"/>
      <headerFooter alignWithMargins="0"/>
    </customSheetView>
  </customSheetViews>
  <mergeCells count="75">
    <mergeCell ref="AN58:AP59"/>
    <mergeCell ref="AL41:AO41"/>
    <mergeCell ref="AJ57:AK57"/>
    <mergeCell ref="AL57:AM57"/>
    <mergeCell ref="AQ25:AR25"/>
    <mergeCell ref="AQ26:AR26"/>
    <mergeCell ref="AO27:AO30"/>
    <mergeCell ref="AQ27:AQ30"/>
    <mergeCell ref="AR27:AR30"/>
    <mergeCell ref="AO26:AP26"/>
    <mergeCell ref="AL38:AM39"/>
    <mergeCell ref="AO4:AP4"/>
    <mergeCell ref="AI4:AJ4"/>
    <mergeCell ref="AK20:AK27"/>
    <mergeCell ref="AO24:AP24"/>
    <mergeCell ref="AO38:AO40"/>
    <mergeCell ref="AK4:AL4"/>
    <mergeCell ref="AM24:AN28"/>
    <mergeCell ref="AO25:AP25"/>
    <mergeCell ref="AJ38:AJ40"/>
    <mergeCell ref="AN38:AN40"/>
    <mergeCell ref="AM4:AN4"/>
    <mergeCell ref="AI10:AN10"/>
    <mergeCell ref="AI20:AI27"/>
    <mergeCell ref="AJ20:AJ27"/>
    <mergeCell ref="AP27:AP30"/>
    <mergeCell ref="M5:N5"/>
    <mergeCell ref="A2:V2"/>
    <mergeCell ref="R3:S3"/>
    <mergeCell ref="U3:V3"/>
    <mergeCell ref="B4:B6"/>
    <mergeCell ref="B3:N3"/>
    <mergeCell ref="A4:A6"/>
    <mergeCell ref="H5:I5"/>
    <mergeCell ref="D4:G4"/>
    <mergeCell ref="AG4:AG5"/>
    <mergeCell ref="A69:B69"/>
    <mergeCell ref="H69:L69"/>
    <mergeCell ref="K5:L5"/>
    <mergeCell ref="H4:L4"/>
    <mergeCell ref="R69:V69"/>
    <mergeCell ref="U5:V5"/>
    <mergeCell ref="R4:V4"/>
    <mergeCell ref="M4:Q4"/>
    <mergeCell ref="F5:G5"/>
    <mergeCell ref="AH4:AH5"/>
    <mergeCell ref="A68:B68"/>
    <mergeCell ref="H68:L68"/>
    <mergeCell ref="R68:V68"/>
    <mergeCell ref="D5:E5"/>
    <mergeCell ref="AH20:AH27"/>
    <mergeCell ref="AH41:AK41"/>
    <mergeCell ref="AH38:AI39"/>
    <mergeCell ref="AK38:AK40"/>
    <mergeCell ref="P5:Q5"/>
    <mergeCell ref="AQ24:AR24"/>
    <mergeCell ref="AE4:AF4"/>
    <mergeCell ref="Y4:Z4"/>
    <mergeCell ref="R5:S5"/>
    <mergeCell ref="W4:X4"/>
    <mergeCell ref="AH57:AI57"/>
    <mergeCell ref="AC4:AD4"/>
    <mergeCell ref="AA4:AB4"/>
    <mergeCell ref="AG11:AG13"/>
    <mergeCell ref="AG20:AG27"/>
    <mergeCell ref="AQ4:AR5"/>
    <mergeCell ref="AG67:AG69"/>
    <mergeCell ref="AG70:AG72"/>
    <mergeCell ref="AG73:AG75"/>
    <mergeCell ref="AG76:AG78"/>
    <mergeCell ref="AS24:AT24"/>
    <mergeCell ref="AS25:AT25"/>
    <mergeCell ref="AS26:AT26"/>
    <mergeCell ref="AS27:AS30"/>
    <mergeCell ref="AT27:AT30"/>
  </mergeCells>
  <phoneticPr fontId="6" type="noConversion"/>
  <printOptions horizontalCentered="1"/>
  <pageMargins left="0.15748031496062992" right="0.15748031496062992" top="0.19685039370078741" bottom="0.15748031496062992" header="0" footer="0"/>
  <pageSetup paperSize="9" scale="55" orientation="landscape" useFirstPageNumber="1" verticalDpi="300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39"/>
  </sheetPr>
  <dimension ref="A1:DI75"/>
  <sheetViews>
    <sheetView zoomScale="70" zoomScaleNormal="70" workbookViewId="0">
      <pane xSplit="2" ySplit="7" topLeftCell="E41" activePane="bottomRight" state="frozen"/>
      <selection activeCell="C48" sqref="C48:J48"/>
      <selection pane="topRight" activeCell="C48" sqref="C48:J48"/>
      <selection pane="bottomLeft" activeCell="C48" sqref="C48:J48"/>
      <selection pane="bottomRight" activeCell="B43" sqref="B43"/>
    </sheetView>
  </sheetViews>
  <sheetFormatPr defaultColWidth="11.5703125" defaultRowHeight="18.75"/>
  <cols>
    <col min="1" max="1" width="9" style="2" hidden="1" customWidth="1"/>
    <col min="2" max="2" width="44.28515625" style="2" customWidth="1"/>
    <col min="3" max="4" width="15.5703125" style="2" hidden="1" customWidth="1"/>
    <col min="5" max="5" width="18" style="10" customWidth="1"/>
    <col min="6" max="6" width="20.42578125" style="10" customWidth="1"/>
    <col min="7" max="8" width="15.7109375" style="10" hidden="1" customWidth="1"/>
    <col min="9" max="9" width="14.7109375" style="10" customWidth="1"/>
    <col min="10" max="10" width="12.140625" style="10" customWidth="1"/>
    <col min="11" max="11" width="13.7109375" style="10" customWidth="1"/>
    <col min="12" max="12" width="10.42578125" style="10" customWidth="1"/>
    <col min="13" max="13" width="12.140625" style="10" hidden="1" customWidth="1"/>
    <col min="14" max="14" width="13" style="10" hidden="1" customWidth="1"/>
    <col min="15" max="15" width="12.7109375" style="10" customWidth="1"/>
    <col min="16" max="16" width="11.5703125" style="10" customWidth="1"/>
    <col min="17" max="17" width="13" style="10" customWidth="1"/>
    <col min="18" max="18" width="12" style="10" customWidth="1"/>
    <col min="19" max="19" width="12.85546875" style="10" hidden="1" customWidth="1"/>
    <col min="20" max="20" width="11.7109375" style="10" hidden="1" customWidth="1"/>
    <col min="21" max="21" width="12.7109375" style="2" customWidth="1"/>
    <col min="22" max="22" width="9.28515625" style="2" customWidth="1"/>
    <col min="23" max="23" width="12" style="2" customWidth="1"/>
    <col min="24" max="24" width="10.140625" style="2" customWidth="1"/>
    <col min="25" max="26" width="8.85546875" style="2" hidden="1" customWidth="1"/>
    <col min="27" max="27" width="14.7109375" style="2" customWidth="1"/>
    <col min="28" max="28" width="11" style="2" customWidth="1"/>
    <col min="29" max="29" width="10.28515625" style="2" customWidth="1"/>
    <col min="30" max="30" width="11.5703125" style="847" customWidth="1"/>
    <col min="31" max="16384" width="11.5703125" style="2"/>
  </cols>
  <sheetData>
    <row r="1" spans="1:113" s="813" customFormat="1" ht="26.25" customHeight="1">
      <c r="A1" s="1134" t="s">
        <v>417</v>
      </c>
      <c r="B1" s="1134"/>
      <c r="C1" s="1134"/>
      <c r="D1" s="1134"/>
      <c r="E1" s="1134"/>
      <c r="F1" s="1134"/>
      <c r="G1" s="1134"/>
      <c r="H1" s="1134"/>
      <c r="I1" s="1134"/>
      <c r="J1" s="1134"/>
      <c r="K1" s="1134"/>
      <c r="L1" s="1134"/>
      <c r="M1" s="1134"/>
      <c r="N1" s="1134"/>
      <c r="O1" s="1134"/>
      <c r="P1" s="1134"/>
      <c r="Q1" s="1134"/>
      <c r="R1" s="1134"/>
      <c r="S1" s="1134"/>
      <c r="T1" s="1134"/>
      <c r="U1" s="1134"/>
      <c r="V1" s="1134"/>
      <c r="W1" s="1134"/>
      <c r="X1" s="1134"/>
      <c r="Y1" s="811"/>
      <c r="Z1" s="811"/>
      <c r="AA1" s="812"/>
      <c r="AB1" s="812"/>
      <c r="AD1" s="847"/>
    </row>
    <row r="2" spans="1:113" s="814" customFormat="1" ht="28.5" customHeight="1">
      <c r="A2" s="1085" t="s">
        <v>406</v>
      </c>
      <c r="B2" s="1085"/>
      <c r="C2" s="1085"/>
      <c r="D2" s="1085"/>
      <c r="E2" s="1085"/>
      <c r="F2" s="1085"/>
      <c r="G2" s="1085"/>
      <c r="H2" s="1085"/>
      <c r="I2" s="1085"/>
      <c r="J2" s="1085"/>
      <c r="K2" s="1085"/>
      <c r="L2" s="1085"/>
      <c r="M2" s="1085"/>
      <c r="N2" s="1085"/>
      <c r="O2" s="1085"/>
      <c r="P2" s="1085"/>
      <c r="Q2" s="1085"/>
      <c r="R2" s="1085"/>
      <c r="S2" s="1085"/>
      <c r="T2" s="1085"/>
      <c r="U2" s="1085"/>
      <c r="V2" s="1085"/>
      <c r="W2" s="1085"/>
      <c r="X2" s="1085"/>
      <c r="Y2" s="750"/>
      <c r="Z2" s="750"/>
      <c r="AC2" s="750"/>
      <c r="AD2" s="848"/>
    </row>
    <row r="3" spans="1:113" ht="21.75" customHeight="1" thickBot="1">
      <c r="B3" s="1132"/>
      <c r="C3" s="1132"/>
      <c r="D3" s="1132"/>
      <c r="E3" s="1132"/>
      <c r="F3" s="1132"/>
      <c r="G3" s="1132"/>
      <c r="H3" s="1132"/>
      <c r="I3" s="1132"/>
      <c r="J3" s="1132"/>
      <c r="K3" s="1132"/>
      <c r="L3" s="1132"/>
      <c r="M3" s="1132"/>
      <c r="N3" s="1132"/>
      <c r="O3" s="1132"/>
      <c r="P3" s="1132"/>
      <c r="Q3" s="228"/>
      <c r="R3" s="228"/>
      <c r="S3" s="228"/>
      <c r="T3" s="228"/>
      <c r="X3" s="411" t="s">
        <v>26</v>
      </c>
      <c r="Y3" s="411"/>
      <c r="Z3" s="411"/>
      <c r="AC3" s="281"/>
    </row>
    <row r="4" spans="1:113" ht="44.25" customHeight="1">
      <c r="A4" s="1129" t="s">
        <v>171</v>
      </c>
      <c r="B4" s="1133" t="s">
        <v>4</v>
      </c>
      <c r="C4" s="1066" t="s">
        <v>420</v>
      </c>
      <c r="D4" s="1067"/>
      <c r="E4" s="1067"/>
      <c r="F4" s="1068"/>
      <c r="G4" s="1080" t="s">
        <v>126</v>
      </c>
      <c r="H4" s="1081"/>
      <c r="I4" s="1081"/>
      <c r="J4" s="1081"/>
      <c r="K4" s="1081"/>
      <c r="L4" s="1082"/>
      <c r="M4" s="1062" t="s">
        <v>388</v>
      </c>
      <c r="N4" s="1063"/>
      <c r="O4" s="1063"/>
      <c r="P4" s="1063"/>
      <c r="Q4" s="1063"/>
      <c r="R4" s="1064"/>
      <c r="S4" s="1062" t="s">
        <v>157</v>
      </c>
      <c r="T4" s="1063"/>
      <c r="U4" s="1063"/>
      <c r="V4" s="1063"/>
      <c r="W4" s="1063"/>
      <c r="X4" s="1064"/>
      <c r="Y4" s="1126" t="s">
        <v>419</v>
      </c>
      <c r="Z4" s="1063"/>
      <c r="AA4" s="1063"/>
      <c r="AB4" s="1063"/>
      <c r="AC4" s="1064"/>
    </row>
    <row r="5" spans="1:113" ht="102" customHeight="1">
      <c r="A5" s="1130"/>
      <c r="B5" s="1059"/>
      <c r="C5" s="760" t="s">
        <v>413</v>
      </c>
      <c r="D5" s="751" t="s">
        <v>415</v>
      </c>
      <c r="E5" s="1061" t="s">
        <v>414</v>
      </c>
      <c r="F5" s="1057"/>
      <c r="G5" s="760" t="s">
        <v>413</v>
      </c>
      <c r="H5" s="751" t="s">
        <v>415</v>
      </c>
      <c r="I5" s="1054" t="s">
        <v>408</v>
      </c>
      <c r="J5" s="1054"/>
      <c r="K5" s="1061" t="s">
        <v>414</v>
      </c>
      <c r="L5" s="1057"/>
      <c r="M5" s="760" t="s">
        <v>413</v>
      </c>
      <c r="N5" s="751" t="s">
        <v>415</v>
      </c>
      <c r="O5" s="1054" t="s">
        <v>407</v>
      </c>
      <c r="P5" s="1054"/>
      <c r="Q5" s="1061" t="s">
        <v>414</v>
      </c>
      <c r="R5" s="1057"/>
      <c r="S5" s="760" t="s">
        <v>413</v>
      </c>
      <c r="T5" s="751" t="s">
        <v>415</v>
      </c>
      <c r="U5" s="1054" t="s">
        <v>409</v>
      </c>
      <c r="V5" s="1054"/>
      <c r="W5" s="1061" t="s">
        <v>414</v>
      </c>
      <c r="X5" s="1057"/>
      <c r="Y5" s="753" t="s">
        <v>413</v>
      </c>
      <c r="Z5" s="751" t="s">
        <v>415</v>
      </c>
      <c r="AA5" s="52" t="s">
        <v>389</v>
      </c>
      <c r="AB5" s="1061" t="str">
        <f>K5</f>
        <v xml:space="preserve"> плановий період 2017 рік            </v>
      </c>
      <c r="AC5" s="1057"/>
    </row>
    <row r="6" spans="1:113" ht="21" customHeight="1" thickBot="1">
      <c r="A6" s="1131"/>
      <c r="B6" s="1060"/>
      <c r="C6" s="780" t="s">
        <v>170</v>
      </c>
      <c r="D6" s="275" t="s">
        <v>170</v>
      </c>
      <c r="E6" s="275" t="s">
        <v>170</v>
      </c>
      <c r="F6" s="616" t="s">
        <v>77</v>
      </c>
      <c r="G6" s="780" t="s">
        <v>170</v>
      </c>
      <c r="H6" s="275" t="s">
        <v>170</v>
      </c>
      <c r="I6" s="275" t="s">
        <v>170</v>
      </c>
      <c r="J6" s="275" t="s">
        <v>392</v>
      </c>
      <c r="K6" s="275" t="s">
        <v>170</v>
      </c>
      <c r="L6" s="616" t="s">
        <v>392</v>
      </c>
      <c r="M6" s="662" t="s">
        <v>170</v>
      </c>
      <c r="N6" s="766" t="s">
        <v>170</v>
      </c>
      <c r="O6" s="766" t="s">
        <v>170</v>
      </c>
      <c r="P6" s="766" t="s">
        <v>392</v>
      </c>
      <c r="Q6" s="766" t="s">
        <v>170</v>
      </c>
      <c r="R6" s="617" t="s">
        <v>392</v>
      </c>
      <c r="S6" s="662" t="s">
        <v>170</v>
      </c>
      <c r="T6" s="766" t="s">
        <v>170</v>
      </c>
      <c r="U6" s="766" t="s">
        <v>170</v>
      </c>
      <c r="V6" s="766" t="s">
        <v>392</v>
      </c>
      <c r="W6" s="766" t="s">
        <v>170</v>
      </c>
      <c r="X6" s="617" t="s">
        <v>392</v>
      </c>
      <c r="Y6" s="772" t="s">
        <v>170</v>
      </c>
      <c r="Z6" s="766" t="s">
        <v>170</v>
      </c>
      <c r="AA6" s="766" t="s">
        <v>77</v>
      </c>
      <c r="AB6" s="766" t="s">
        <v>170</v>
      </c>
      <c r="AC6" s="617" t="s">
        <v>77</v>
      </c>
    </row>
    <row r="7" spans="1:113" ht="18" customHeight="1" thickBot="1">
      <c r="A7" s="940">
        <v>1</v>
      </c>
      <c r="B7" s="952">
        <v>2</v>
      </c>
      <c r="C7" s="669">
        <v>3</v>
      </c>
      <c r="D7" s="782">
        <v>4</v>
      </c>
      <c r="E7" s="783">
        <v>5</v>
      </c>
      <c r="F7" s="667">
        <v>6</v>
      </c>
      <c r="G7" s="672">
        <v>7</v>
      </c>
      <c r="H7" s="783">
        <v>8</v>
      </c>
      <c r="I7" s="783">
        <v>9</v>
      </c>
      <c r="J7" s="783">
        <v>10</v>
      </c>
      <c r="K7" s="783">
        <v>11</v>
      </c>
      <c r="L7" s="667">
        <v>12</v>
      </c>
      <c r="M7" s="672">
        <v>13</v>
      </c>
      <c r="N7" s="783">
        <v>14</v>
      </c>
      <c r="O7" s="782">
        <v>15</v>
      </c>
      <c r="P7" s="782">
        <v>16</v>
      </c>
      <c r="Q7" s="782">
        <v>17</v>
      </c>
      <c r="R7" s="668">
        <v>18</v>
      </c>
      <c r="S7" s="669">
        <v>19</v>
      </c>
      <c r="T7" s="782">
        <v>20</v>
      </c>
      <c r="U7" s="782">
        <v>21</v>
      </c>
      <c r="V7" s="782">
        <v>22</v>
      </c>
      <c r="W7" s="782">
        <v>23</v>
      </c>
      <c r="X7" s="668">
        <v>24</v>
      </c>
      <c r="Y7" s="784">
        <v>25</v>
      </c>
      <c r="Z7" s="782">
        <v>26</v>
      </c>
      <c r="AA7" s="782">
        <v>27</v>
      </c>
      <c r="AB7" s="782">
        <v>28</v>
      </c>
      <c r="AC7" s="668">
        <v>29</v>
      </c>
    </row>
    <row r="8" spans="1:113" s="285" customFormat="1" ht="21.95" customHeight="1">
      <c r="A8" s="1016">
        <v>1</v>
      </c>
      <c r="B8" s="966" t="s">
        <v>29</v>
      </c>
      <c r="C8" s="913">
        <f>C9+C25</f>
        <v>10878.8</v>
      </c>
      <c r="D8" s="790">
        <f>D9+D25</f>
        <v>11693.84</v>
      </c>
      <c r="E8" s="790">
        <f>E9+E25</f>
        <v>11737.34</v>
      </c>
      <c r="F8" s="671">
        <f>F9+F25</f>
        <v>49.55</v>
      </c>
      <c r="G8" s="913">
        <f t="shared" ref="G8:AC8" si="0">G9+G25</f>
        <v>6505.43</v>
      </c>
      <c r="H8" s="790">
        <f t="shared" si="0"/>
        <v>7573.44</v>
      </c>
      <c r="I8" s="790">
        <f t="shared" si="0"/>
        <v>9543.0499999999993</v>
      </c>
      <c r="J8" s="790">
        <f t="shared" si="0"/>
        <v>46.49</v>
      </c>
      <c r="K8" s="790">
        <f t="shared" si="0"/>
        <v>10078.52</v>
      </c>
      <c r="L8" s="671">
        <f t="shared" si="0"/>
        <v>49.55</v>
      </c>
      <c r="M8" s="913">
        <f t="shared" si="0"/>
        <v>1056.32</v>
      </c>
      <c r="N8" s="790">
        <f t="shared" si="0"/>
        <v>1114.8</v>
      </c>
      <c r="O8" s="790">
        <f t="shared" si="0"/>
        <v>1277.9100000000001</v>
      </c>
      <c r="P8" s="790">
        <f t="shared" si="0"/>
        <v>46.91</v>
      </c>
      <c r="Q8" s="790">
        <f t="shared" si="0"/>
        <v>1313.45</v>
      </c>
      <c r="R8" s="671">
        <f t="shared" si="0"/>
        <v>49.55</v>
      </c>
      <c r="S8" s="913">
        <f t="shared" si="0"/>
        <v>172.54</v>
      </c>
      <c r="T8" s="790">
        <f t="shared" si="0"/>
        <v>171.28</v>
      </c>
      <c r="U8" s="790">
        <f t="shared" si="0"/>
        <v>419.29</v>
      </c>
      <c r="V8" s="790">
        <f t="shared" si="0"/>
        <v>46.91</v>
      </c>
      <c r="W8" s="790">
        <f t="shared" si="0"/>
        <v>342.35</v>
      </c>
      <c r="X8" s="671">
        <f t="shared" si="0"/>
        <v>49.55</v>
      </c>
      <c r="Y8" s="851">
        <f t="shared" si="0"/>
        <v>1.77</v>
      </c>
      <c r="Z8" s="790">
        <f t="shared" si="0"/>
        <v>2.0099999999999998</v>
      </c>
      <c r="AA8" s="790">
        <f t="shared" si="0"/>
        <v>46.91</v>
      </c>
      <c r="AB8" s="790">
        <f t="shared" si="0"/>
        <v>3.02</v>
      </c>
      <c r="AC8" s="790">
        <f t="shared" si="0"/>
        <v>49.55</v>
      </c>
      <c r="AD8" s="849">
        <f>K8+Q8+W8+AB8-E8</f>
        <v>0</v>
      </c>
    </row>
    <row r="9" spans="1:113" s="285" customFormat="1" ht="21.95" customHeight="1">
      <c r="A9" s="948"/>
      <c r="B9" s="891" t="s">
        <v>271</v>
      </c>
      <c r="C9" s="392">
        <f t="shared" ref="C9:I9" si="1">C10+C19+C22</f>
        <v>10715.11</v>
      </c>
      <c r="D9" s="582">
        <f t="shared" si="1"/>
        <v>11514.75</v>
      </c>
      <c r="E9" s="790">
        <f t="shared" si="1"/>
        <v>11646.32</v>
      </c>
      <c r="F9" s="671">
        <f t="shared" si="1"/>
        <v>49.17</v>
      </c>
      <c r="G9" s="392">
        <f t="shared" si="1"/>
        <v>6454.98</v>
      </c>
      <c r="H9" s="582">
        <f t="shared" si="1"/>
        <v>7514.71</v>
      </c>
      <c r="I9" s="582">
        <f t="shared" si="1"/>
        <v>9519.2199999999993</v>
      </c>
      <c r="J9" s="582">
        <f t="shared" ref="J9:J14" si="2">I9/$I$58*1000</f>
        <v>46.37</v>
      </c>
      <c r="K9" s="582">
        <f>K10+K19+K22</f>
        <v>10000.370000000001</v>
      </c>
      <c r="L9" s="393">
        <f>L10+L19+L22</f>
        <v>49.17</v>
      </c>
      <c r="M9" s="913">
        <f>M10+M19+M22</f>
        <v>1048.1300000000001</v>
      </c>
      <c r="N9" s="790">
        <f>N10+N19+N22</f>
        <v>1106.1500000000001</v>
      </c>
      <c r="O9" s="582">
        <f>O10+O19+O22</f>
        <v>1274.75</v>
      </c>
      <c r="P9" s="582">
        <f t="shared" ref="P9:P14" si="3">O9/$O$58*1000</f>
        <v>46.79</v>
      </c>
      <c r="Q9" s="790">
        <f t="shared" ref="Q9:AC9" si="4">Q10+Q19+Q22</f>
        <v>1303.26</v>
      </c>
      <c r="R9" s="671">
        <f t="shared" si="4"/>
        <v>49.17</v>
      </c>
      <c r="S9" s="392">
        <f t="shared" si="4"/>
        <v>171.2</v>
      </c>
      <c r="T9" s="582">
        <f t="shared" si="4"/>
        <v>169.95</v>
      </c>
      <c r="U9" s="582">
        <f t="shared" si="4"/>
        <v>418.25</v>
      </c>
      <c r="V9" s="582">
        <f t="shared" si="4"/>
        <v>46.79</v>
      </c>
      <c r="W9" s="582">
        <f t="shared" si="4"/>
        <v>339.7</v>
      </c>
      <c r="X9" s="393">
        <f t="shared" si="4"/>
        <v>49.17</v>
      </c>
      <c r="Y9" s="648">
        <f t="shared" si="4"/>
        <v>1.76</v>
      </c>
      <c r="Z9" s="582">
        <f t="shared" si="4"/>
        <v>2</v>
      </c>
      <c r="AA9" s="582">
        <f t="shared" si="4"/>
        <v>46.79</v>
      </c>
      <c r="AB9" s="582">
        <f t="shared" si="4"/>
        <v>2.99</v>
      </c>
      <c r="AC9" s="393">
        <f t="shared" si="4"/>
        <v>49.17</v>
      </c>
      <c r="AD9" s="849">
        <f t="shared" ref="AD9:AD57" si="5">K9+Q9+W9+AB9-E9</f>
        <v>0</v>
      </c>
    </row>
    <row r="10" spans="1:113" s="285" customFormat="1" ht="21.95" customHeight="1">
      <c r="A10" s="1017" t="s">
        <v>31</v>
      </c>
      <c r="B10" s="891" t="s">
        <v>149</v>
      </c>
      <c r="C10" s="392">
        <f>SUM(C11:C14)</f>
        <v>3215</v>
      </c>
      <c r="D10" s="582">
        <f>SUM(D11:D14)</f>
        <v>3797.26</v>
      </c>
      <c r="E10" s="790">
        <f>E11+E13+E14</f>
        <v>3230.2</v>
      </c>
      <c r="F10" s="671">
        <f>F11+F13+F14</f>
        <v>13.64</v>
      </c>
      <c r="G10" s="392">
        <f>G11+G13+G14</f>
        <v>1790.34</v>
      </c>
      <c r="H10" s="582">
        <f>H11+H13+H14</f>
        <v>2084.2600000000002</v>
      </c>
      <c r="I10" s="582">
        <f>SUM(I11:I14)</f>
        <v>2333.6799999999998</v>
      </c>
      <c r="J10" s="582">
        <f t="shared" si="2"/>
        <v>11.37</v>
      </c>
      <c r="K10" s="582">
        <f>K11+K13+K14</f>
        <v>2773.68</v>
      </c>
      <c r="L10" s="393">
        <f>L11+L13+L14</f>
        <v>13.64</v>
      </c>
      <c r="M10" s="913">
        <f>M11+M13+M14</f>
        <v>290.7</v>
      </c>
      <c r="N10" s="790">
        <f>N11+N13+N14</f>
        <v>306.81</v>
      </c>
      <c r="O10" s="582">
        <f>SUM(O11:O14)</f>
        <v>321.24</v>
      </c>
      <c r="P10" s="582">
        <f t="shared" si="3"/>
        <v>11.79</v>
      </c>
      <c r="Q10" s="790">
        <f t="shared" ref="Q10:AC10" si="6">Q11+Q13+Q14</f>
        <v>361.47</v>
      </c>
      <c r="R10" s="671">
        <f t="shared" si="6"/>
        <v>13.64</v>
      </c>
      <c r="S10" s="913">
        <f t="shared" si="6"/>
        <v>47.49</v>
      </c>
      <c r="T10" s="790">
        <f t="shared" si="6"/>
        <v>47.13</v>
      </c>
      <c r="U10" s="790">
        <f>U11+U13+U14-0.01</f>
        <v>105.4</v>
      </c>
      <c r="V10" s="790">
        <f t="shared" si="6"/>
        <v>11.79</v>
      </c>
      <c r="W10" s="790">
        <f t="shared" si="6"/>
        <v>94.22</v>
      </c>
      <c r="X10" s="671">
        <f t="shared" si="6"/>
        <v>13.64</v>
      </c>
      <c r="Y10" s="648">
        <f t="shared" si="6"/>
        <v>0.49</v>
      </c>
      <c r="Z10" s="582">
        <f t="shared" si="6"/>
        <v>0.56000000000000005</v>
      </c>
      <c r="AA10" s="582">
        <f t="shared" si="6"/>
        <v>11.79</v>
      </c>
      <c r="AB10" s="582">
        <f t="shared" si="6"/>
        <v>0.83</v>
      </c>
      <c r="AC10" s="393">
        <f t="shared" si="6"/>
        <v>13.64</v>
      </c>
      <c r="AD10" s="849">
        <f t="shared" si="5"/>
        <v>0</v>
      </c>
    </row>
    <row r="11" spans="1:113" s="290" customFormat="1" ht="21.95" customHeight="1">
      <c r="A11" s="944" t="s">
        <v>33</v>
      </c>
      <c r="B11" s="897" t="s">
        <v>212</v>
      </c>
      <c r="C11" s="818">
        <v>1159.06</v>
      </c>
      <c r="D11" s="820">
        <v>1377.95</v>
      </c>
      <c r="E11" s="815">
        <v>1989.28</v>
      </c>
      <c r="F11" s="395">
        <f>E11/$E$58*1000</f>
        <v>8.4</v>
      </c>
      <c r="G11" s="394">
        <f>$E11/$E$58*$G$58</f>
        <v>1102.56</v>
      </c>
      <c r="H11" s="375">
        <f>$E11/$E$58*$H$58</f>
        <v>1283.57</v>
      </c>
      <c r="I11" s="375">
        <v>1549.67</v>
      </c>
      <c r="J11" s="375">
        <f t="shared" si="2"/>
        <v>7.55</v>
      </c>
      <c r="K11" s="375">
        <f>$E11/$E$58*$K$58</f>
        <v>1708.14</v>
      </c>
      <c r="L11" s="395">
        <f>K11/$K$58*1000</f>
        <v>8.4</v>
      </c>
      <c r="M11" s="394">
        <f>$E11/$E$58*$M$58</f>
        <v>179.03</v>
      </c>
      <c r="N11" s="375">
        <f>$E11/$E$58*$N$58</f>
        <v>188.94</v>
      </c>
      <c r="O11" s="375">
        <v>217.21</v>
      </c>
      <c r="P11" s="375">
        <f t="shared" si="3"/>
        <v>7.97</v>
      </c>
      <c r="Q11" s="375">
        <f>$E11/$E$58*$Q$58</f>
        <v>222.61</v>
      </c>
      <c r="R11" s="395">
        <f>Q11/$Q$58*1000</f>
        <v>8.4</v>
      </c>
      <c r="S11" s="854">
        <f>$E11/$E$58*$S$58</f>
        <v>29.24</v>
      </c>
      <c r="T11" s="815">
        <f>$E11/$E$58*$T$58</f>
        <v>29.03</v>
      </c>
      <c r="U11" s="815">
        <v>71.27</v>
      </c>
      <c r="V11" s="815">
        <f>U11/$U$58*1000</f>
        <v>7.97</v>
      </c>
      <c r="W11" s="815">
        <f>$E11/$E$58*$W$58</f>
        <v>58.02</v>
      </c>
      <c r="X11" s="914">
        <f>W11/$W$58*1000</f>
        <v>8.4</v>
      </c>
      <c r="Y11" s="852">
        <f>$E11/$E$58*$Y$58</f>
        <v>0.3</v>
      </c>
      <c r="Z11" s="375">
        <f>$E11/$E$58*$Z$58</f>
        <v>0.34</v>
      </c>
      <c r="AA11" s="375">
        <f>V11</f>
        <v>7.97</v>
      </c>
      <c r="AB11" s="375">
        <f>$E11/$E$58*$AB$58</f>
        <v>0.51</v>
      </c>
      <c r="AC11" s="395">
        <f>AB11/$AB$58*1000+0.02</f>
        <v>8.4</v>
      </c>
      <c r="AD11" s="849">
        <f t="shared" si="5"/>
        <v>0</v>
      </c>
    </row>
    <row r="12" spans="1:113" s="290" customFormat="1" ht="32.25" hidden="1" customHeight="1">
      <c r="A12" s="944" t="s">
        <v>34</v>
      </c>
      <c r="B12" s="897" t="s">
        <v>79</v>
      </c>
      <c r="C12" s="818"/>
      <c r="D12" s="820"/>
      <c r="E12" s="815">
        <f ca="1">K12+Q12+W12+AB12</f>
        <v>0</v>
      </c>
      <c r="F12" s="395">
        <f ca="1">E12/$E$58*1000</f>
        <v>0</v>
      </c>
      <c r="G12" s="394">
        <f ca="1">$E12/$E$58*$G$58</f>
        <v>0</v>
      </c>
      <c r="H12" s="375">
        <f ca="1">$E12/$E$58*$H$58</f>
        <v>0</v>
      </c>
      <c r="I12" s="375">
        <f>'Додаток3 скор'!J18</f>
        <v>0</v>
      </c>
      <c r="J12" s="375">
        <f t="shared" si="2"/>
        <v>0</v>
      </c>
      <c r="K12" s="375">
        <f ca="1">$E12/$E$58*$K$58</f>
        <v>1426.5</v>
      </c>
      <c r="L12" s="395">
        <f ca="1">K12/$K$58*1000</f>
        <v>0</v>
      </c>
      <c r="M12" s="394">
        <f ca="1">$E12/$E$58*$M$58</f>
        <v>149.51</v>
      </c>
      <c r="N12" s="375">
        <f ca="1">$E12/$E$58*$N$58</f>
        <v>157.79</v>
      </c>
      <c r="O12" s="375">
        <f>'Додаток3 скор'!O18</f>
        <v>0</v>
      </c>
      <c r="P12" s="375">
        <f t="shared" si="3"/>
        <v>0</v>
      </c>
      <c r="Q12" s="375">
        <f ca="1">$E12/$E$58*$Q$58</f>
        <v>185.9</v>
      </c>
      <c r="R12" s="395">
        <f ca="1">Q12/$Q$58*1000</f>
        <v>0</v>
      </c>
      <c r="S12" s="394">
        <f ca="1">$E12/$E$58*$S$58</f>
        <v>24.42</v>
      </c>
      <c r="T12" s="375">
        <f ca="1">$E12/$E$58*$T$58</f>
        <v>24.24</v>
      </c>
      <c r="U12" s="375">
        <f>'Додаток3 скор'!T18</f>
        <v>0</v>
      </c>
      <c r="V12" s="375">
        <f>U12/$U$58*1000</f>
        <v>0</v>
      </c>
      <c r="W12" s="375">
        <f ca="1">$E12/$E$58*$W$58</f>
        <v>48.45</v>
      </c>
      <c r="X12" s="395">
        <f ca="1">W12/$W$58*1000</f>
        <v>0</v>
      </c>
      <c r="Y12" s="852">
        <f ca="1">$E12/$E$58*$Y$58</f>
        <v>0.25</v>
      </c>
      <c r="Z12" s="375">
        <f ca="1">$E12/$E$58*$Z$58</f>
        <v>0.28000000000000003</v>
      </c>
      <c r="AA12" s="375">
        <f>U12</f>
        <v>0</v>
      </c>
      <c r="AB12" s="375">
        <f ca="1">$E12/$E$58*$AB$58</f>
        <v>0.43</v>
      </c>
      <c r="AC12" s="395">
        <f ca="1">AB12/$AB$58*1000</f>
        <v>0</v>
      </c>
      <c r="AD12" s="849">
        <f t="shared" ca="1" si="5"/>
        <v>0</v>
      </c>
    </row>
    <row r="13" spans="1:113" s="290" customFormat="1" ht="38.25" customHeight="1">
      <c r="A13" s="944" t="s">
        <v>35</v>
      </c>
      <c r="B13" s="897" t="s">
        <v>37</v>
      </c>
      <c r="C13" s="386">
        <f>5.96+4.24</f>
        <v>10.199999999999999</v>
      </c>
      <c r="D13" s="820">
        <f>6.42+4.13</f>
        <v>10.55</v>
      </c>
      <c r="E13" s="815">
        <v>35.01</v>
      </c>
      <c r="F13" s="395">
        <f>E13/$E$58*1000</f>
        <v>0.15</v>
      </c>
      <c r="G13" s="394">
        <f>$E13/$E$58*$G$58</f>
        <v>19.399999999999999</v>
      </c>
      <c r="H13" s="375">
        <f>$E13/$E$58*$H$58</f>
        <v>22.59</v>
      </c>
      <c r="I13" s="375">
        <v>9.83</v>
      </c>
      <c r="J13" s="375">
        <f t="shared" si="2"/>
        <v>0.05</v>
      </c>
      <c r="K13" s="375">
        <f>$E13/$E$58*$K$58</f>
        <v>30.06</v>
      </c>
      <c r="L13" s="395">
        <f>K13/$K$58*1000</f>
        <v>0.15</v>
      </c>
      <c r="M13" s="394">
        <f>$E13/$E$58*$M$58</f>
        <v>3.15</v>
      </c>
      <c r="N13" s="375">
        <f>$E13/$E$58*$N$58</f>
        <v>3.33</v>
      </c>
      <c r="O13" s="375">
        <v>1.3</v>
      </c>
      <c r="P13" s="375">
        <f t="shared" si="3"/>
        <v>0.05</v>
      </c>
      <c r="Q13" s="375">
        <f>$E13/$E$58*$Q$58</f>
        <v>3.92</v>
      </c>
      <c r="R13" s="395">
        <f>Q13/$Q$58*1000</f>
        <v>0.15</v>
      </c>
      <c r="S13" s="394">
        <f>$E13/$E$58*$S$58</f>
        <v>0.51</v>
      </c>
      <c r="T13" s="375">
        <f>$E13/$E$58*$T$58</f>
        <v>0.51</v>
      </c>
      <c r="U13" s="375">
        <v>0.43</v>
      </c>
      <c r="V13" s="375">
        <f>U13/$U$58*1000</f>
        <v>0.05</v>
      </c>
      <c r="W13" s="375">
        <f>$E13/$E$58*$W$58</f>
        <v>1.02</v>
      </c>
      <c r="X13" s="395">
        <f>W13/$W$58*1000</f>
        <v>0.15</v>
      </c>
      <c r="Y13" s="852">
        <f>$E13/$E$58*$Y$58</f>
        <v>0.01</v>
      </c>
      <c r="Z13" s="375">
        <f>$E13/$E$58*$Z$58</f>
        <v>0.01</v>
      </c>
      <c r="AA13" s="375">
        <f>V13</f>
        <v>0.05</v>
      </c>
      <c r="AB13" s="375">
        <f>$E13/$E$58*$AB$58</f>
        <v>0.01</v>
      </c>
      <c r="AC13" s="395">
        <f>AB13/$AB$58*1000-0.01</f>
        <v>0.15</v>
      </c>
      <c r="AD13" s="849">
        <f t="shared" si="5"/>
        <v>0</v>
      </c>
    </row>
    <row r="14" spans="1:113" s="290" customFormat="1" ht="36.75" customHeight="1">
      <c r="A14" s="944" t="s">
        <v>36</v>
      </c>
      <c r="B14" s="897" t="s">
        <v>39</v>
      </c>
      <c r="C14" s="818">
        <v>2045.74</v>
      </c>
      <c r="D14" s="820">
        <f>1388.96+1019.8</f>
        <v>2408.7600000000002</v>
      </c>
      <c r="E14" s="815">
        <f>SUM(E15:E18)</f>
        <v>1205.9100000000001</v>
      </c>
      <c r="F14" s="914">
        <f>SUM(F15:F18)</f>
        <v>5.09</v>
      </c>
      <c r="G14" s="394">
        <f>SUM(G15:G18)</f>
        <v>668.38</v>
      </c>
      <c r="H14" s="375">
        <f>SUM(H15:H18)</f>
        <v>778.1</v>
      </c>
      <c r="I14" s="375">
        <v>774.18</v>
      </c>
      <c r="J14" s="375">
        <f t="shared" si="2"/>
        <v>3.77</v>
      </c>
      <c r="K14" s="375">
        <f>SUM(K15:K18)</f>
        <v>1035.48</v>
      </c>
      <c r="L14" s="395">
        <f>SUM(L15:L18)</f>
        <v>5.09</v>
      </c>
      <c r="M14" s="854">
        <f>SUM(M15:M18)</f>
        <v>108.52</v>
      </c>
      <c r="N14" s="815">
        <f>SUM(N15:N18)</f>
        <v>114.54</v>
      </c>
      <c r="O14" s="375">
        <v>102.73</v>
      </c>
      <c r="P14" s="375">
        <f t="shared" si="3"/>
        <v>3.77</v>
      </c>
      <c r="Q14" s="815">
        <f>SUM(Q15:Q18)</f>
        <v>134.94</v>
      </c>
      <c r="R14" s="914">
        <f>SUM(R15:R18)</f>
        <v>5.09</v>
      </c>
      <c r="S14" s="394">
        <f>SUM(S15:S18)</f>
        <v>17.739999999999998</v>
      </c>
      <c r="T14" s="375">
        <f>SUM(T15:T18)</f>
        <v>17.59</v>
      </c>
      <c r="U14" s="375">
        <v>33.71</v>
      </c>
      <c r="V14" s="375">
        <f>U14/$U$58*1000</f>
        <v>3.77</v>
      </c>
      <c r="W14" s="375">
        <f>SUM(W15:W18)</f>
        <v>35.18</v>
      </c>
      <c r="X14" s="395">
        <f>SUM(X15:X18)</f>
        <v>5.09</v>
      </c>
      <c r="Y14" s="852">
        <f>SUM(Y15:Y18)</f>
        <v>0.18</v>
      </c>
      <c r="Z14" s="375">
        <f>SUM(Z15:Z18)</f>
        <v>0.21</v>
      </c>
      <c r="AA14" s="375">
        <f>V14</f>
        <v>3.77</v>
      </c>
      <c r="AB14" s="375">
        <f>SUM(AB15:AB18)</f>
        <v>0.31</v>
      </c>
      <c r="AC14" s="395">
        <f>SUM(AC15:AC18)</f>
        <v>5.09</v>
      </c>
      <c r="AD14" s="849">
        <f t="shared" si="5"/>
        <v>0</v>
      </c>
    </row>
    <row r="15" spans="1:113" s="678" customFormat="1" ht="18.75" customHeight="1">
      <c r="A15" s="944"/>
      <c r="B15" s="894" t="s">
        <v>436</v>
      </c>
      <c r="C15" s="819">
        <v>913.82</v>
      </c>
      <c r="D15" s="319">
        <v>1019.79</v>
      </c>
      <c r="E15" s="373">
        <v>336.61</v>
      </c>
      <c r="F15" s="395">
        <f>E15/$E$58*1000</f>
        <v>1.42</v>
      </c>
      <c r="G15" s="394">
        <f>$E15/$E$58*$G$58</f>
        <v>186.57</v>
      </c>
      <c r="H15" s="375">
        <f>$E15/$E$58*$H$58</f>
        <v>217.2</v>
      </c>
      <c r="I15" s="373"/>
      <c r="J15" s="756"/>
      <c r="K15" s="375">
        <f>$E15/$E$58*$K$58</f>
        <v>289.04000000000002</v>
      </c>
      <c r="L15" s="395">
        <f>K15/$K$58*1000</f>
        <v>1.42</v>
      </c>
      <c r="M15" s="394">
        <f>$E15/$E$58*$M$58</f>
        <v>30.29</v>
      </c>
      <c r="N15" s="375">
        <f>$E15/$E$58*$N$58</f>
        <v>31.97</v>
      </c>
      <c r="O15" s="373"/>
      <c r="P15" s="373"/>
      <c r="Q15" s="375">
        <f>$E15/$E$58*$Q$58</f>
        <v>37.67</v>
      </c>
      <c r="R15" s="395">
        <f>Q15/$Q$58*1000</f>
        <v>1.42</v>
      </c>
      <c r="S15" s="394">
        <f>$E15/$E$58*$S$58</f>
        <v>4.95</v>
      </c>
      <c r="T15" s="375">
        <f>$E15/$E$58*$T$58</f>
        <v>4.91</v>
      </c>
      <c r="U15" s="373"/>
      <c r="V15" s="373"/>
      <c r="W15" s="375">
        <f>$E15/$E$58*$W$58</f>
        <v>9.82</v>
      </c>
      <c r="X15" s="395">
        <f>W15/$W$58*1000</f>
        <v>1.42</v>
      </c>
      <c r="Y15" s="852">
        <f>$E15/$E$58*$Y$58</f>
        <v>0.05</v>
      </c>
      <c r="Z15" s="375">
        <f>$E15/$E$58*$Z$58</f>
        <v>0.06</v>
      </c>
      <c r="AA15" s="373"/>
      <c r="AB15" s="375">
        <f>$E15/$E$58*$AB$58-0.01</f>
        <v>0.08</v>
      </c>
      <c r="AC15" s="395">
        <f>AB15/$AB$58*1000+0.1</f>
        <v>1.42</v>
      </c>
      <c r="AD15" s="849">
        <f t="shared" si="5"/>
        <v>0</v>
      </c>
      <c r="AF15" s="684"/>
      <c r="AG15" s="684"/>
      <c r="AH15" s="685"/>
      <c r="AI15" s="685"/>
      <c r="AJ15" s="685"/>
      <c r="AK15" s="684"/>
      <c r="AL15" s="686"/>
      <c r="AM15" s="686"/>
      <c r="AN15" s="686"/>
      <c r="AQ15" s="679"/>
      <c r="AR15" s="679"/>
      <c r="AS15" s="679"/>
      <c r="AT15" s="679"/>
      <c r="AU15" s="679"/>
      <c r="AV15" s="679"/>
      <c r="AW15" s="679"/>
      <c r="AX15" s="679"/>
      <c r="AY15" s="679"/>
      <c r="AZ15" s="679"/>
      <c r="BA15" s="679"/>
      <c r="BB15" s="679"/>
      <c r="BC15" s="679"/>
      <c r="BD15" s="679"/>
      <c r="BE15" s="679"/>
      <c r="BF15" s="679"/>
      <c r="BG15" s="679"/>
      <c r="BH15" s="679"/>
      <c r="BI15" s="679"/>
      <c r="BJ15" s="679"/>
      <c r="BK15" s="679"/>
      <c r="BL15" s="679"/>
      <c r="BM15" s="679"/>
      <c r="BN15" s="679"/>
      <c r="BO15" s="679"/>
      <c r="BP15" s="679"/>
      <c r="BQ15" s="679"/>
      <c r="BR15" s="679"/>
      <c r="BS15" s="679"/>
      <c r="BT15" s="679"/>
      <c r="BU15" s="679"/>
      <c r="BV15" s="679"/>
      <c r="BW15" s="679"/>
      <c r="BX15" s="679"/>
      <c r="BY15" s="679"/>
      <c r="BZ15" s="679"/>
      <c r="CA15" s="679"/>
      <c r="CB15" s="679"/>
      <c r="CC15" s="679"/>
      <c r="CD15" s="679"/>
      <c r="CE15" s="679"/>
      <c r="CF15" s="679"/>
      <c r="CG15" s="679"/>
      <c r="CH15" s="679"/>
      <c r="CI15" s="679"/>
      <c r="CJ15" s="679"/>
      <c r="CK15" s="679"/>
      <c r="CL15" s="679"/>
      <c r="CM15" s="679"/>
      <c r="CN15" s="679"/>
      <c r="CO15" s="679"/>
      <c r="CP15" s="679"/>
      <c r="CQ15" s="679"/>
      <c r="CR15" s="679"/>
      <c r="CS15" s="679"/>
      <c r="CT15" s="679"/>
      <c r="CU15" s="679"/>
      <c r="CV15" s="679"/>
      <c r="CW15" s="679"/>
      <c r="CX15" s="679"/>
      <c r="CY15" s="679"/>
      <c r="CZ15" s="679"/>
      <c r="DA15" s="679"/>
      <c r="DB15" s="679"/>
      <c r="DC15" s="679"/>
      <c r="DD15" s="679"/>
      <c r="DE15" s="679"/>
      <c r="DF15" s="679"/>
      <c r="DG15" s="679"/>
      <c r="DH15" s="679"/>
      <c r="DI15" s="679"/>
    </row>
    <row r="16" spans="1:113" s="678" customFormat="1" ht="24" customHeight="1">
      <c r="A16" s="944"/>
      <c r="B16" s="894" t="s">
        <v>437</v>
      </c>
      <c r="C16" s="819"/>
      <c r="D16" s="319"/>
      <c r="E16" s="373">
        <v>116.8</v>
      </c>
      <c r="F16" s="395">
        <f>E16/$E$58*1000</f>
        <v>0.49</v>
      </c>
      <c r="G16" s="394">
        <f>$E16/$E$58*$G$58</f>
        <v>64.739999999999995</v>
      </c>
      <c r="H16" s="375">
        <f>$E16/$E$58*$H$58</f>
        <v>75.36</v>
      </c>
      <c r="I16" s="373"/>
      <c r="J16" s="756"/>
      <c r="K16" s="375">
        <f>$E16/$E$58*$K$58</f>
        <v>100.29</v>
      </c>
      <c r="L16" s="395">
        <f>K16/$K$58*1000</f>
        <v>0.49</v>
      </c>
      <c r="M16" s="394">
        <f>$E16/$E$58*$M$58</f>
        <v>10.51</v>
      </c>
      <c r="N16" s="375">
        <f>$E16/$E$58*$N$58</f>
        <v>11.09</v>
      </c>
      <c r="O16" s="373"/>
      <c r="P16" s="373"/>
      <c r="Q16" s="375">
        <f>$E16/$E$58*$Q$58</f>
        <v>13.07</v>
      </c>
      <c r="R16" s="395">
        <f>Q16/$Q$58*1000</f>
        <v>0.49</v>
      </c>
      <c r="S16" s="394">
        <f>$E16/$E$58*$S$58</f>
        <v>1.72</v>
      </c>
      <c r="T16" s="375">
        <f>$E16/$E$58*$T$58</f>
        <v>1.7</v>
      </c>
      <c r="U16" s="373"/>
      <c r="V16" s="373"/>
      <c r="W16" s="375">
        <f>$E16/$E$58*$W$58</f>
        <v>3.41</v>
      </c>
      <c r="X16" s="395">
        <f>W16/$W$58*1000</f>
        <v>0.49</v>
      </c>
      <c r="Y16" s="852">
        <f>$E16/$E$58*$Y$58</f>
        <v>0.02</v>
      </c>
      <c r="Z16" s="375">
        <f>$E16/$E$58*$Z$58</f>
        <v>0.02</v>
      </c>
      <c r="AA16" s="373"/>
      <c r="AB16" s="375">
        <f>$E16/$E$58*$AB$58</f>
        <v>0.03</v>
      </c>
      <c r="AC16" s="395">
        <f>AB16/$AB$58*1000</f>
        <v>0.49</v>
      </c>
      <c r="AD16" s="849">
        <f t="shared" si="5"/>
        <v>0</v>
      </c>
      <c r="AF16" s="684"/>
      <c r="AG16" s="684"/>
      <c r="AH16" s="685"/>
      <c r="AI16" s="685"/>
      <c r="AJ16" s="685"/>
      <c r="AK16" s="684"/>
      <c r="AL16" s="686"/>
      <c r="AM16" s="686"/>
      <c r="AN16" s="686"/>
      <c r="AQ16" s="679"/>
      <c r="AR16" s="679"/>
      <c r="AS16" s="679"/>
      <c r="AT16" s="679"/>
      <c r="AU16" s="679"/>
      <c r="AV16" s="679"/>
      <c r="AW16" s="679"/>
      <c r="AX16" s="679"/>
      <c r="AY16" s="679"/>
      <c r="AZ16" s="679"/>
      <c r="BA16" s="679"/>
      <c r="BB16" s="679"/>
      <c r="BC16" s="679"/>
      <c r="BD16" s="679"/>
      <c r="BE16" s="679"/>
      <c r="BF16" s="679"/>
      <c r="BG16" s="679"/>
      <c r="BH16" s="679"/>
      <c r="BI16" s="679"/>
      <c r="BJ16" s="679"/>
      <c r="BK16" s="679"/>
      <c r="BL16" s="679"/>
      <c r="BM16" s="679"/>
      <c r="BN16" s="679"/>
      <c r="BO16" s="679"/>
      <c r="BP16" s="679"/>
      <c r="BQ16" s="679"/>
      <c r="BR16" s="679"/>
      <c r="BS16" s="679"/>
      <c r="BT16" s="679"/>
      <c r="BU16" s="679"/>
      <c r="BV16" s="679"/>
      <c r="BW16" s="679"/>
      <c r="BX16" s="679"/>
      <c r="BY16" s="679"/>
      <c r="BZ16" s="679"/>
      <c r="CA16" s="679"/>
      <c r="CB16" s="679"/>
      <c r="CC16" s="679"/>
      <c r="CD16" s="679"/>
      <c r="CE16" s="679"/>
      <c r="CF16" s="679"/>
      <c r="CG16" s="679"/>
      <c r="CH16" s="679"/>
      <c r="CI16" s="679"/>
      <c r="CJ16" s="679"/>
      <c r="CK16" s="679"/>
      <c r="CL16" s="679"/>
      <c r="CM16" s="679"/>
      <c r="CN16" s="679"/>
      <c r="CO16" s="679"/>
      <c r="CP16" s="679"/>
      <c r="CQ16" s="679"/>
      <c r="CR16" s="679"/>
      <c r="CS16" s="679"/>
      <c r="CT16" s="679"/>
      <c r="CU16" s="679"/>
      <c r="CV16" s="679"/>
      <c r="CW16" s="679"/>
      <c r="CX16" s="679"/>
      <c r="CY16" s="679"/>
      <c r="CZ16" s="679"/>
      <c r="DA16" s="679"/>
      <c r="DB16" s="679"/>
      <c r="DC16" s="679"/>
      <c r="DD16" s="679"/>
      <c r="DE16" s="679"/>
      <c r="DF16" s="679"/>
      <c r="DG16" s="679"/>
      <c r="DH16" s="679"/>
      <c r="DI16" s="679"/>
    </row>
    <row r="17" spans="1:113" s="678" customFormat="1" ht="24" customHeight="1">
      <c r="A17" s="944"/>
      <c r="B17" s="894" t="s">
        <v>438</v>
      </c>
      <c r="C17" s="819">
        <v>662.41</v>
      </c>
      <c r="D17" s="319">
        <v>658.79</v>
      </c>
      <c r="E17" s="373">
        <v>733.7</v>
      </c>
      <c r="F17" s="395">
        <f>E17/$E$58*1000</f>
        <v>3.1</v>
      </c>
      <c r="G17" s="394">
        <f>$E17/$E$58*$G$58</f>
        <v>406.65</v>
      </c>
      <c r="H17" s="375">
        <f>$E17/$E$58*$H$58</f>
        <v>473.41</v>
      </c>
      <c r="I17" s="373"/>
      <c r="J17" s="756"/>
      <c r="K17" s="375">
        <f>$E17/$E$58*$K$58</f>
        <v>630.01</v>
      </c>
      <c r="L17" s="395">
        <f>K17/$K$58*1000</f>
        <v>3.1</v>
      </c>
      <c r="M17" s="394">
        <f>$E17/$E$58*$M$58</f>
        <v>66.03</v>
      </c>
      <c r="N17" s="375">
        <f>$E17/$E$58*$N$58</f>
        <v>69.69</v>
      </c>
      <c r="O17" s="373"/>
      <c r="P17" s="373"/>
      <c r="Q17" s="375">
        <f>$E17/$E$58*$Q$58</f>
        <v>82.1</v>
      </c>
      <c r="R17" s="395">
        <f>Q17/$Q$58*1000</f>
        <v>3.1</v>
      </c>
      <c r="S17" s="394">
        <f>$E17/$E$58*$S$58</f>
        <v>10.79</v>
      </c>
      <c r="T17" s="375">
        <f>$E17/$E$58*$T$58</f>
        <v>10.71</v>
      </c>
      <c r="U17" s="373"/>
      <c r="V17" s="373"/>
      <c r="W17" s="375">
        <f>$E17/$E$58*$W$58</f>
        <v>21.4</v>
      </c>
      <c r="X17" s="395">
        <f>W17/$W$58*1000</f>
        <v>3.1</v>
      </c>
      <c r="Y17" s="852">
        <f>$E17/$E$58*$Y$58</f>
        <v>0.11</v>
      </c>
      <c r="Z17" s="375">
        <f>$E17/$E$58*$Z$58</f>
        <v>0.13</v>
      </c>
      <c r="AA17" s="373"/>
      <c r="AB17" s="375">
        <f>$E17/$E$58*$AB$58</f>
        <v>0.19</v>
      </c>
      <c r="AC17" s="395">
        <f>AB17/$AB$58*1000-0.02</f>
        <v>3.1</v>
      </c>
      <c r="AD17" s="849">
        <f t="shared" si="5"/>
        <v>0</v>
      </c>
      <c r="AF17" s="684"/>
      <c r="AG17" s="684"/>
      <c r="AH17" s="685"/>
      <c r="AI17" s="685"/>
      <c r="AJ17" s="685"/>
      <c r="AK17" s="684"/>
      <c r="AL17" s="686"/>
      <c r="AM17" s="686"/>
      <c r="AN17" s="686"/>
      <c r="AQ17" s="679"/>
      <c r="AR17" s="679"/>
      <c r="AS17" s="679"/>
      <c r="AT17" s="679"/>
      <c r="AU17" s="679"/>
      <c r="AV17" s="679"/>
      <c r="AW17" s="679"/>
      <c r="AX17" s="679"/>
      <c r="AY17" s="679"/>
      <c r="AZ17" s="679"/>
      <c r="BA17" s="679"/>
      <c r="BB17" s="679"/>
      <c r="BC17" s="679"/>
      <c r="BD17" s="679"/>
      <c r="BE17" s="679"/>
      <c r="BF17" s="679"/>
      <c r="BG17" s="679"/>
      <c r="BH17" s="679"/>
      <c r="BI17" s="679"/>
      <c r="BJ17" s="679"/>
      <c r="BK17" s="679"/>
      <c r="BL17" s="679"/>
      <c r="BM17" s="679"/>
      <c r="BN17" s="679"/>
      <c r="BO17" s="679"/>
      <c r="BP17" s="679"/>
      <c r="BQ17" s="679"/>
      <c r="BR17" s="679"/>
      <c r="BS17" s="679"/>
      <c r="BT17" s="679"/>
      <c r="BU17" s="679"/>
      <c r="BV17" s="679"/>
      <c r="BW17" s="679"/>
      <c r="BX17" s="679"/>
      <c r="BY17" s="679"/>
      <c r="BZ17" s="679"/>
      <c r="CA17" s="679"/>
      <c r="CB17" s="679"/>
      <c r="CC17" s="679"/>
      <c r="CD17" s="679"/>
      <c r="CE17" s="679"/>
      <c r="CF17" s="679"/>
      <c r="CG17" s="679"/>
      <c r="CH17" s="679"/>
      <c r="CI17" s="679"/>
      <c r="CJ17" s="679"/>
      <c r="CK17" s="679"/>
      <c r="CL17" s="679"/>
      <c r="CM17" s="679"/>
      <c r="CN17" s="679"/>
      <c r="CO17" s="679"/>
      <c r="CP17" s="679"/>
      <c r="CQ17" s="679"/>
      <c r="CR17" s="679"/>
      <c r="CS17" s="679"/>
      <c r="CT17" s="679"/>
      <c r="CU17" s="679"/>
      <c r="CV17" s="679"/>
      <c r="CW17" s="679"/>
      <c r="CX17" s="679"/>
      <c r="CY17" s="679"/>
      <c r="CZ17" s="679"/>
      <c r="DA17" s="679"/>
      <c r="DB17" s="679"/>
      <c r="DC17" s="679"/>
      <c r="DD17" s="679"/>
      <c r="DE17" s="679"/>
      <c r="DF17" s="679"/>
      <c r="DG17" s="679"/>
      <c r="DH17" s="679"/>
      <c r="DI17" s="679"/>
    </row>
    <row r="18" spans="1:113" s="678" customFormat="1" ht="24" customHeight="1">
      <c r="A18" s="944"/>
      <c r="B18" s="894" t="s">
        <v>449</v>
      </c>
      <c r="C18" s="819">
        <v>30.25</v>
      </c>
      <c r="D18" s="319">
        <v>18.8</v>
      </c>
      <c r="E18" s="373">
        <v>18.8</v>
      </c>
      <c r="F18" s="395">
        <f>E18/$E$58*1000</f>
        <v>0.08</v>
      </c>
      <c r="G18" s="394">
        <f>$E18/$E$58*$G$58</f>
        <v>10.42</v>
      </c>
      <c r="H18" s="375">
        <f>$E18/$E$58*$H$58</f>
        <v>12.13</v>
      </c>
      <c r="I18" s="373"/>
      <c r="J18" s="756"/>
      <c r="K18" s="375">
        <f>$E18/$E$58*$K$58</f>
        <v>16.14</v>
      </c>
      <c r="L18" s="395">
        <f>K18/$K$58*1000</f>
        <v>0.08</v>
      </c>
      <c r="M18" s="394">
        <f>$E18/$E$58*$M$58</f>
        <v>1.69</v>
      </c>
      <c r="N18" s="375">
        <f>$E18/$E$58*$N$58</f>
        <v>1.79</v>
      </c>
      <c r="O18" s="373"/>
      <c r="P18" s="373"/>
      <c r="Q18" s="375">
        <f>$E18/$E$58*$Q$58</f>
        <v>2.1</v>
      </c>
      <c r="R18" s="395">
        <f>Q18/$Q$58*1000</f>
        <v>0.08</v>
      </c>
      <c r="S18" s="394">
        <f>$E18/$E$58*$S$58</f>
        <v>0.28000000000000003</v>
      </c>
      <c r="T18" s="375">
        <f>$E18/$E$58*$T$58</f>
        <v>0.27</v>
      </c>
      <c r="U18" s="373"/>
      <c r="V18" s="373"/>
      <c r="W18" s="375">
        <f>$E18/$E$58*$W$58</f>
        <v>0.55000000000000004</v>
      </c>
      <c r="X18" s="395">
        <f>W18/$W$58*1000</f>
        <v>0.08</v>
      </c>
      <c r="Y18" s="852">
        <f>$E18/$E$58*$Y$58</f>
        <v>0</v>
      </c>
      <c r="Z18" s="375">
        <f>$E18/$E$58*$Z$58</f>
        <v>0</v>
      </c>
      <c r="AA18" s="373"/>
      <c r="AB18" s="375">
        <f>$E18/$E$58*$AB$58+0.01</f>
        <v>0.01</v>
      </c>
      <c r="AC18" s="395">
        <f>AB18/$AB$58*1000-0.08</f>
        <v>0.08</v>
      </c>
      <c r="AD18" s="849">
        <f t="shared" si="5"/>
        <v>0</v>
      </c>
      <c r="AF18" s="684"/>
      <c r="AG18" s="684"/>
      <c r="AH18" s="685"/>
      <c r="AI18" s="685"/>
      <c r="AJ18" s="685"/>
      <c r="AK18" s="684"/>
      <c r="AL18" s="686"/>
      <c r="AM18" s="686"/>
      <c r="AN18" s="686"/>
      <c r="AQ18" s="679"/>
      <c r="AR18" s="679"/>
      <c r="AS18" s="679"/>
      <c r="AT18" s="679"/>
      <c r="AU18" s="679"/>
      <c r="AV18" s="679"/>
      <c r="AW18" s="679"/>
      <c r="AX18" s="679"/>
      <c r="AY18" s="679"/>
      <c r="AZ18" s="679"/>
      <c r="BA18" s="679"/>
      <c r="BB18" s="679"/>
      <c r="BC18" s="679"/>
      <c r="BD18" s="679"/>
      <c r="BE18" s="679"/>
      <c r="BF18" s="679"/>
      <c r="BG18" s="679"/>
      <c r="BH18" s="679"/>
      <c r="BI18" s="679"/>
      <c r="BJ18" s="679"/>
      <c r="BK18" s="679"/>
      <c r="BL18" s="679"/>
      <c r="BM18" s="679"/>
      <c r="BN18" s="679"/>
      <c r="BO18" s="679"/>
      <c r="BP18" s="679"/>
      <c r="BQ18" s="679"/>
      <c r="BR18" s="679"/>
      <c r="BS18" s="679"/>
      <c r="BT18" s="679"/>
      <c r="BU18" s="679"/>
      <c r="BV18" s="679"/>
      <c r="BW18" s="679"/>
      <c r="BX18" s="679"/>
      <c r="BY18" s="679"/>
      <c r="BZ18" s="679"/>
      <c r="CA18" s="679"/>
      <c r="CB18" s="679"/>
      <c r="CC18" s="679"/>
      <c r="CD18" s="679"/>
      <c r="CE18" s="679"/>
      <c r="CF18" s="679"/>
      <c r="CG18" s="679"/>
      <c r="CH18" s="679"/>
      <c r="CI18" s="679"/>
      <c r="CJ18" s="679"/>
      <c r="CK18" s="679"/>
      <c r="CL18" s="679"/>
      <c r="CM18" s="679"/>
      <c r="CN18" s="679"/>
      <c r="CO18" s="679"/>
      <c r="CP18" s="679"/>
      <c r="CQ18" s="679"/>
      <c r="CR18" s="679"/>
      <c r="CS18" s="679"/>
      <c r="CT18" s="679"/>
      <c r="CU18" s="679"/>
      <c r="CV18" s="679"/>
      <c r="CW18" s="679"/>
      <c r="CX18" s="679"/>
      <c r="CY18" s="679"/>
      <c r="CZ18" s="679"/>
      <c r="DA18" s="679"/>
      <c r="DB18" s="679"/>
      <c r="DC18" s="679"/>
      <c r="DD18" s="679"/>
      <c r="DE18" s="679"/>
      <c r="DF18" s="679"/>
      <c r="DG18" s="679"/>
      <c r="DH18" s="679"/>
      <c r="DI18" s="679"/>
    </row>
    <row r="19" spans="1:113" s="285" customFormat="1" ht="49.5" customHeight="1">
      <c r="A19" s="1017" t="s">
        <v>40</v>
      </c>
      <c r="B19" s="891" t="s">
        <v>342</v>
      </c>
      <c r="C19" s="392">
        <f t="shared" ref="C19:J19" si="7">C20+C21</f>
        <v>6718.67</v>
      </c>
      <c r="D19" s="582">
        <f t="shared" si="7"/>
        <v>6858.47</v>
      </c>
      <c r="E19" s="790">
        <f t="shared" si="7"/>
        <v>7667.24</v>
      </c>
      <c r="F19" s="671">
        <f t="shared" si="7"/>
        <v>32.369999999999997</v>
      </c>
      <c r="G19" s="392">
        <f t="shared" si="7"/>
        <v>4249.57</v>
      </c>
      <c r="H19" s="582">
        <f t="shared" si="7"/>
        <v>4947.24</v>
      </c>
      <c r="I19" s="582">
        <f t="shared" si="7"/>
        <v>6706.55</v>
      </c>
      <c r="J19" s="582">
        <f t="shared" si="7"/>
        <v>32.67</v>
      </c>
      <c r="K19" s="582">
        <f t="shared" ref="K19:AC19" si="8">K20+K21</f>
        <v>6583.65</v>
      </c>
      <c r="L19" s="393">
        <f t="shared" si="8"/>
        <v>32.369999999999997</v>
      </c>
      <c r="M19" s="913">
        <f t="shared" si="8"/>
        <v>690.03</v>
      </c>
      <c r="N19" s="790">
        <f t="shared" si="8"/>
        <v>728.22</v>
      </c>
      <c r="O19" s="790">
        <f t="shared" si="8"/>
        <v>889.95</v>
      </c>
      <c r="P19" s="790">
        <f t="shared" si="8"/>
        <v>32.67</v>
      </c>
      <c r="Q19" s="790">
        <f t="shared" si="8"/>
        <v>857.99</v>
      </c>
      <c r="R19" s="671">
        <f t="shared" si="8"/>
        <v>32.369999999999997</v>
      </c>
      <c r="S19" s="392">
        <f t="shared" si="8"/>
        <v>112.7</v>
      </c>
      <c r="T19" s="582">
        <f t="shared" si="8"/>
        <v>111.89</v>
      </c>
      <c r="U19" s="582">
        <f t="shared" si="8"/>
        <v>291.99</v>
      </c>
      <c r="V19" s="582">
        <f t="shared" si="8"/>
        <v>32.67</v>
      </c>
      <c r="W19" s="582">
        <f t="shared" si="8"/>
        <v>223.64</v>
      </c>
      <c r="X19" s="393">
        <f t="shared" si="8"/>
        <v>32.369999999999997</v>
      </c>
      <c r="Y19" s="648">
        <f t="shared" si="8"/>
        <v>1.1599999999999999</v>
      </c>
      <c r="Z19" s="582">
        <f t="shared" si="8"/>
        <v>1.31</v>
      </c>
      <c r="AA19" s="582">
        <f t="shared" si="8"/>
        <v>32.67</v>
      </c>
      <c r="AB19" s="582">
        <f t="shared" si="8"/>
        <v>1.96</v>
      </c>
      <c r="AC19" s="393">
        <f t="shared" si="8"/>
        <v>32.369999999999997</v>
      </c>
      <c r="AD19" s="849">
        <f t="shared" si="5"/>
        <v>0</v>
      </c>
    </row>
    <row r="20" spans="1:113" s="290" customFormat="1" ht="21.95" customHeight="1">
      <c r="A20" s="944" t="s">
        <v>343</v>
      </c>
      <c r="B20" s="893" t="s">
        <v>41</v>
      </c>
      <c r="C20" s="394">
        <v>4949.57</v>
      </c>
      <c r="D20" s="375">
        <v>5647.54</v>
      </c>
      <c r="E20" s="815">
        <v>6284.62</v>
      </c>
      <c r="F20" s="395">
        <f>E20/$E$58*1000</f>
        <v>26.53</v>
      </c>
      <c r="G20" s="394">
        <f>$E20/$E$58*$G$58</f>
        <v>3483.25</v>
      </c>
      <c r="H20" s="375">
        <f>$E20/$E$58*$H$58</f>
        <v>4055.11</v>
      </c>
      <c r="I20" s="375">
        <v>5497.18</v>
      </c>
      <c r="J20" s="375">
        <f>I20/$I$58*1000</f>
        <v>26.78</v>
      </c>
      <c r="K20" s="375">
        <f>$E20/$E$58*$K$58</f>
        <v>5396.43</v>
      </c>
      <c r="L20" s="395">
        <f>K20/$K$58*1000</f>
        <v>26.53</v>
      </c>
      <c r="M20" s="394">
        <f>$E20/$E$58*$M$58</f>
        <v>565.6</v>
      </c>
      <c r="N20" s="375">
        <f>$E20/$E$58*$N$58</f>
        <v>596.9</v>
      </c>
      <c r="O20" s="375">
        <v>729.47</v>
      </c>
      <c r="P20" s="375">
        <f>O20/$O$58*1000</f>
        <v>26.78</v>
      </c>
      <c r="Q20" s="375">
        <f>$E20/$E$58*$Q$58</f>
        <v>703.27</v>
      </c>
      <c r="R20" s="395">
        <f>Q20/$Q$58*1000</f>
        <v>26.53</v>
      </c>
      <c r="S20" s="394">
        <f>$E20/$E$58*$S$58</f>
        <v>92.38</v>
      </c>
      <c r="T20" s="375">
        <f>$E20/$E$58*$T$58</f>
        <v>91.71</v>
      </c>
      <c r="U20" s="375">
        <v>239.34</v>
      </c>
      <c r="V20" s="375">
        <f>U20/$U$58*1000</f>
        <v>26.78</v>
      </c>
      <c r="W20" s="375">
        <f>$E20/$E$58*$W$58+0.01</f>
        <v>183.31</v>
      </c>
      <c r="X20" s="395">
        <f>W20/$W$58*1000</f>
        <v>26.53</v>
      </c>
      <c r="Y20" s="852">
        <f>$E20/$E$58*$Y$58</f>
        <v>0.95</v>
      </c>
      <c r="Z20" s="375">
        <f>$E20/$E$58*$Z$58</f>
        <v>1.07</v>
      </c>
      <c r="AA20" s="375">
        <f>V20</f>
        <v>26.78</v>
      </c>
      <c r="AB20" s="375">
        <f>$E20/$E$58*$AB$58</f>
        <v>1.61</v>
      </c>
      <c r="AC20" s="395">
        <f>AB20/$AB$58*1000+0.06</f>
        <v>26.53</v>
      </c>
      <c r="AD20" s="849">
        <f t="shared" si="5"/>
        <v>0</v>
      </c>
    </row>
    <row r="21" spans="1:113" s="290" customFormat="1" ht="21.95" customHeight="1">
      <c r="A21" s="944" t="s">
        <v>344</v>
      </c>
      <c r="B21" s="893" t="s">
        <v>45</v>
      </c>
      <c r="C21" s="394">
        <v>1769.1</v>
      </c>
      <c r="D21" s="375">
        <v>1210.93</v>
      </c>
      <c r="E21" s="815">
        <v>1382.62</v>
      </c>
      <c r="F21" s="395">
        <f>E21/$E$58*1000</f>
        <v>5.84</v>
      </c>
      <c r="G21" s="394">
        <f>$E21/$E$58*$G$58</f>
        <v>766.32</v>
      </c>
      <c r="H21" s="375">
        <f>$E21/$E$58*$H$58</f>
        <v>892.13</v>
      </c>
      <c r="I21" s="375">
        <v>1209.3699999999999</v>
      </c>
      <c r="J21" s="375">
        <f>I21/$I$58*1000</f>
        <v>5.89</v>
      </c>
      <c r="K21" s="375">
        <f>$E21/$E$58*$K$58</f>
        <v>1187.22</v>
      </c>
      <c r="L21" s="395">
        <f>K21/$K$58*1000</f>
        <v>5.84</v>
      </c>
      <c r="M21" s="394">
        <f>$E21/$E$58*$M$58</f>
        <v>124.43</v>
      </c>
      <c r="N21" s="375">
        <f>$E21/$E$58*$N$58</f>
        <v>131.32</v>
      </c>
      <c r="O21" s="375">
        <v>160.47999999999999</v>
      </c>
      <c r="P21" s="375">
        <f>O21/$O$58*1000</f>
        <v>5.89</v>
      </c>
      <c r="Q21" s="375">
        <f>$E21/$E$58*$Q$58</f>
        <v>154.72</v>
      </c>
      <c r="R21" s="395">
        <f>Q21/$Q$58*1000</f>
        <v>5.84</v>
      </c>
      <c r="S21" s="394">
        <f>$E21/$E$58*$S$58</f>
        <v>20.32</v>
      </c>
      <c r="T21" s="375">
        <f>$E21/$E$58*$T$58</f>
        <v>20.18</v>
      </c>
      <c r="U21" s="375">
        <v>52.65</v>
      </c>
      <c r="V21" s="375">
        <f>U21/$U$58*1000</f>
        <v>5.89</v>
      </c>
      <c r="W21" s="375">
        <f>$E21/$E$58*$W$58</f>
        <v>40.33</v>
      </c>
      <c r="X21" s="395">
        <f>W21/$W$58*1000</f>
        <v>5.84</v>
      </c>
      <c r="Y21" s="852">
        <f>$E21/$E$58*$Y$58</f>
        <v>0.21</v>
      </c>
      <c r="Z21" s="375">
        <f>$E21/$E$58*$Z$58</f>
        <v>0.24</v>
      </c>
      <c r="AA21" s="375">
        <f>V21</f>
        <v>5.89</v>
      </c>
      <c r="AB21" s="375">
        <f>$E21/$E$58*$AB$58-0.01</f>
        <v>0.35</v>
      </c>
      <c r="AC21" s="395">
        <f>AB21/$AB$58*1000+0.09</f>
        <v>5.84</v>
      </c>
      <c r="AD21" s="849">
        <f t="shared" si="5"/>
        <v>0</v>
      </c>
    </row>
    <row r="22" spans="1:113" s="290" customFormat="1" ht="21.95" customHeight="1">
      <c r="A22" s="1017" t="s">
        <v>42</v>
      </c>
      <c r="B22" s="901" t="s">
        <v>146</v>
      </c>
      <c r="C22" s="789">
        <f>SUM(C23:C24)</f>
        <v>781.44</v>
      </c>
      <c r="D22" s="582">
        <f>SUM(D23:D24)</f>
        <v>859.02</v>
      </c>
      <c r="E22" s="790">
        <f>E23+E24</f>
        <v>748.88</v>
      </c>
      <c r="F22" s="671">
        <f>F23+F24</f>
        <v>3.16</v>
      </c>
      <c r="G22" s="392">
        <f t="shared" ref="G22:AC22" si="9">G23+G24</f>
        <v>415.07</v>
      </c>
      <c r="H22" s="582">
        <f t="shared" si="9"/>
        <v>483.21</v>
      </c>
      <c r="I22" s="582">
        <f t="shared" si="9"/>
        <v>478.99</v>
      </c>
      <c r="J22" s="582">
        <f t="shared" si="9"/>
        <v>2.33</v>
      </c>
      <c r="K22" s="582">
        <f t="shared" si="9"/>
        <v>643.04</v>
      </c>
      <c r="L22" s="393">
        <f t="shared" si="9"/>
        <v>3.16</v>
      </c>
      <c r="M22" s="913">
        <f t="shared" si="9"/>
        <v>67.400000000000006</v>
      </c>
      <c r="N22" s="790">
        <f t="shared" si="9"/>
        <v>71.12</v>
      </c>
      <c r="O22" s="790">
        <f t="shared" si="9"/>
        <v>63.56</v>
      </c>
      <c r="P22" s="790">
        <f t="shared" si="9"/>
        <v>2.33</v>
      </c>
      <c r="Q22" s="790">
        <f t="shared" si="9"/>
        <v>83.8</v>
      </c>
      <c r="R22" s="671">
        <f t="shared" si="9"/>
        <v>3.16</v>
      </c>
      <c r="S22" s="392">
        <f t="shared" si="9"/>
        <v>11.01</v>
      </c>
      <c r="T22" s="582">
        <f t="shared" si="9"/>
        <v>10.93</v>
      </c>
      <c r="U22" s="582">
        <f t="shared" si="9"/>
        <v>20.86</v>
      </c>
      <c r="V22" s="582">
        <f t="shared" si="9"/>
        <v>2.33</v>
      </c>
      <c r="W22" s="582">
        <f t="shared" si="9"/>
        <v>21.84</v>
      </c>
      <c r="X22" s="393">
        <f t="shared" si="9"/>
        <v>3.16</v>
      </c>
      <c r="Y22" s="648">
        <f t="shared" si="9"/>
        <v>0.11</v>
      </c>
      <c r="Z22" s="582">
        <f t="shared" si="9"/>
        <v>0.13</v>
      </c>
      <c r="AA22" s="582">
        <f t="shared" si="9"/>
        <v>2.33</v>
      </c>
      <c r="AB22" s="582">
        <f t="shared" si="9"/>
        <v>0.2</v>
      </c>
      <c r="AC22" s="393">
        <f t="shared" si="9"/>
        <v>3.16</v>
      </c>
      <c r="AD22" s="849">
        <f t="shared" si="5"/>
        <v>0</v>
      </c>
    </row>
    <row r="23" spans="1:113" s="290" customFormat="1" ht="21.95" customHeight="1">
      <c r="A23" s="944" t="s">
        <v>44</v>
      </c>
      <c r="B23" s="893" t="s">
        <v>47</v>
      </c>
      <c r="C23" s="394">
        <v>620.54999999999995</v>
      </c>
      <c r="D23" s="375">
        <v>637.4</v>
      </c>
      <c r="E23" s="815">
        <v>693.35</v>
      </c>
      <c r="F23" s="395">
        <f>E23/$E$58*1000</f>
        <v>2.93</v>
      </c>
      <c r="G23" s="394">
        <f>$E23/$E$58*$G$58</f>
        <v>384.29</v>
      </c>
      <c r="H23" s="375">
        <f>$E23/$E$58*$H$58</f>
        <v>447.38</v>
      </c>
      <c r="I23" s="375">
        <v>395.96</v>
      </c>
      <c r="J23" s="375">
        <f>I23/$I$58*1000</f>
        <v>1.93</v>
      </c>
      <c r="K23" s="375">
        <f>$E23/$E$58*$K$58</f>
        <v>595.36</v>
      </c>
      <c r="L23" s="395">
        <f>K23/$K$58*1000</f>
        <v>2.93</v>
      </c>
      <c r="M23" s="394">
        <f>$E23/$E$58*$M$58</f>
        <v>62.4</v>
      </c>
      <c r="N23" s="375">
        <f>$E23/$E$58*$N$58</f>
        <v>65.849999999999994</v>
      </c>
      <c r="O23" s="375">
        <v>52.54</v>
      </c>
      <c r="P23" s="375">
        <f>O23/$O$58*1000</f>
        <v>1.93</v>
      </c>
      <c r="Q23" s="375">
        <f>$E23/$E$58*$Q$58</f>
        <v>77.59</v>
      </c>
      <c r="R23" s="395">
        <f>Q23/$Q$58*1000</f>
        <v>2.93</v>
      </c>
      <c r="S23" s="394">
        <f>$E23/$E$58*$S$58</f>
        <v>10.19</v>
      </c>
      <c r="T23" s="375">
        <f>$E23/$E$58*$T$58</f>
        <v>10.119999999999999</v>
      </c>
      <c r="U23" s="375">
        <v>17.239999999999998</v>
      </c>
      <c r="V23" s="375">
        <f>U23/$U$58*1000</f>
        <v>1.93</v>
      </c>
      <c r="W23" s="375">
        <f>$E23/$E$58*$W$58</f>
        <v>20.22</v>
      </c>
      <c r="X23" s="395">
        <f>W23/$W$58*1000</f>
        <v>2.93</v>
      </c>
      <c r="Y23" s="852">
        <f>$E23/$E$58*$Y$58</f>
        <v>0.1</v>
      </c>
      <c r="Z23" s="375">
        <f>$E23/$E$58*$Z$58</f>
        <v>0.12</v>
      </c>
      <c r="AA23" s="375">
        <f>V23</f>
        <v>1.93</v>
      </c>
      <c r="AB23" s="375">
        <f>$E23/$E$58*$AB$58</f>
        <v>0.18</v>
      </c>
      <c r="AC23" s="395">
        <f>AB23/$AB$58*1000-0.03</f>
        <v>2.93</v>
      </c>
      <c r="AD23" s="849">
        <f t="shared" si="5"/>
        <v>0</v>
      </c>
    </row>
    <row r="24" spans="1:113" s="290" customFormat="1" ht="21.95" customHeight="1">
      <c r="A24" s="944" t="s">
        <v>46</v>
      </c>
      <c r="B24" s="893" t="s">
        <v>447</v>
      </c>
      <c r="C24" s="394">
        <v>160.88999999999999</v>
      </c>
      <c r="D24" s="375">
        <v>221.62</v>
      </c>
      <c r="E24" s="815">
        <v>55.53</v>
      </c>
      <c r="F24" s="395">
        <f>E24/$E$58*1000</f>
        <v>0.23</v>
      </c>
      <c r="G24" s="394">
        <f>$E24/$E$58*$G$58</f>
        <v>30.78</v>
      </c>
      <c r="H24" s="375">
        <f>$E24/$E$58*$H$58</f>
        <v>35.83</v>
      </c>
      <c r="I24" s="375">
        <v>83.03</v>
      </c>
      <c r="J24" s="375">
        <f>I24/$I$58*1000</f>
        <v>0.4</v>
      </c>
      <c r="K24" s="375">
        <f>$E24/$E$58*$K$58</f>
        <v>47.68</v>
      </c>
      <c r="L24" s="395">
        <f>K24/$K$58*1000</f>
        <v>0.23</v>
      </c>
      <c r="M24" s="394">
        <f>$E24/$E$58*$M$58</f>
        <v>5</v>
      </c>
      <c r="N24" s="375">
        <f>$E24/$E$58*$N$58</f>
        <v>5.27</v>
      </c>
      <c r="O24" s="375">
        <v>11.02</v>
      </c>
      <c r="P24" s="375">
        <f>O24/$O$58*1000</f>
        <v>0.4</v>
      </c>
      <c r="Q24" s="375">
        <f>$E24/$E$58*$Q$58</f>
        <v>6.21</v>
      </c>
      <c r="R24" s="395">
        <f>Q24/$Q$58*1000</f>
        <v>0.23</v>
      </c>
      <c r="S24" s="394">
        <f>$E24/$E$58*$S$58</f>
        <v>0.82</v>
      </c>
      <c r="T24" s="375">
        <f>$E24/$E$58*$T$58</f>
        <v>0.81</v>
      </c>
      <c r="U24" s="375">
        <v>3.62</v>
      </c>
      <c r="V24" s="375">
        <f>U24/$U$58*1000</f>
        <v>0.4</v>
      </c>
      <c r="W24" s="375">
        <f>$E24/$E$58*$W$58</f>
        <v>1.62</v>
      </c>
      <c r="X24" s="395">
        <f>W24/$W$58*1000</f>
        <v>0.23</v>
      </c>
      <c r="Y24" s="852">
        <f>$E24/$E$58*$Y$58</f>
        <v>0.01</v>
      </c>
      <c r="Z24" s="375">
        <f>$E24/$E$58*$Z$58</f>
        <v>0.01</v>
      </c>
      <c r="AA24" s="375">
        <f>V24</f>
        <v>0.4</v>
      </c>
      <c r="AB24" s="375">
        <f>$E24/$E$58*$AB$58+0.01</f>
        <v>0.02</v>
      </c>
      <c r="AC24" s="395">
        <f>AB24/$AB$58*1000-0.1</f>
        <v>0.23</v>
      </c>
      <c r="AD24" s="849">
        <f t="shared" si="5"/>
        <v>0</v>
      </c>
    </row>
    <row r="25" spans="1:113" s="290" customFormat="1" ht="21.95" customHeight="1">
      <c r="A25" s="1017" t="s">
        <v>50</v>
      </c>
      <c r="B25" s="891" t="s">
        <v>148</v>
      </c>
      <c r="C25" s="789">
        <f>C26+C30+C33+C34</f>
        <v>163.69</v>
      </c>
      <c r="D25" s="582">
        <f>D26+D30+D33+D34</f>
        <v>179.09</v>
      </c>
      <c r="E25" s="582">
        <f>E26+E30+E33+E34</f>
        <v>91.02</v>
      </c>
      <c r="F25" s="393">
        <f>F26+F30+F33+F34</f>
        <v>0.38</v>
      </c>
      <c r="G25" s="392">
        <f t="shared" ref="G25:AC25" si="10">G26+G30+G33+G34</f>
        <v>50.45</v>
      </c>
      <c r="H25" s="582">
        <f t="shared" si="10"/>
        <v>58.73</v>
      </c>
      <c r="I25" s="582">
        <f t="shared" si="10"/>
        <v>23.83</v>
      </c>
      <c r="J25" s="582">
        <f t="shared" si="10"/>
        <v>0.12</v>
      </c>
      <c r="K25" s="582">
        <f t="shared" si="10"/>
        <v>78.150000000000006</v>
      </c>
      <c r="L25" s="393">
        <f t="shared" si="10"/>
        <v>0.38</v>
      </c>
      <c r="M25" s="392">
        <f t="shared" si="10"/>
        <v>8.19</v>
      </c>
      <c r="N25" s="582">
        <f t="shared" si="10"/>
        <v>8.65</v>
      </c>
      <c r="O25" s="582">
        <f t="shared" si="10"/>
        <v>3.16</v>
      </c>
      <c r="P25" s="582">
        <f t="shared" si="10"/>
        <v>0.12</v>
      </c>
      <c r="Q25" s="582">
        <f t="shared" si="10"/>
        <v>10.19</v>
      </c>
      <c r="R25" s="393">
        <f t="shared" si="10"/>
        <v>0.38</v>
      </c>
      <c r="S25" s="392">
        <f t="shared" si="10"/>
        <v>1.34</v>
      </c>
      <c r="T25" s="582">
        <f t="shared" si="10"/>
        <v>1.33</v>
      </c>
      <c r="U25" s="582">
        <f t="shared" si="10"/>
        <v>1.04</v>
      </c>
      <c r="V25" s="582">
        <f t="shared" si="10"/>
        <v>0.12</v>
      </c>
      <c r="W25" s="582">
        <f t="shared" si="10"/>
        <v>2.65</v>
      </c>
      <c r="X25" s="393">
        <f t="shared" si="10"/>
        <v>0.38</v>
      </c>
      <c r="Y25" s="648">
        <f t="shared" si="10"/>
        <v>0.01</v>
      </c>
      <c r="Z25" s="582">
        <f t="shared" si="10"/>
        <v>0.01</v>
      </c>
      <c r="AA25" s="582">
        <f t="shared" si="10"/>
        <v>0.12</v>
      </c>
      <c r="AB25" s="582">
        <f t="shared" si="10"/>
        <v>0.03</v>
      </c>
      <c r="AC25" s="393">
        <f t="shared" si="10"/>
        <v>0.38</v>
      </c>
      <c r="AD25" s="849">
        <f t="shared" si="5"/>
        <v>0</v>
      </c>
    </row>
    <row r="26" spans="1:113" s="288" customFormat="1" ht="21.95" customHeight="1">
      <c r="A26" s="944" t="s">
        <v>52</v>
      </c>
      <c r="B26" s="897" t="s">
        <v>424</v>
      </c>
      <c r="C26" s="762">
        <f>SUM(C27:C29)</f>
        <v>115.84</v>
      </c>
      <c r="D26" s="373">
        <f t="shared" ref="D26:AC26" si="11">SUM(D27:D29)</f>
        <v>136.36000000000001</v>
      </c>
      <c r="E26" s="373">
        <f t="shared" si="11"/>
        <v>0</v>
      </c>
      <c r="F26" s="778">
        <f t="shared" si="11"/>
        <v>0</v>
      </c>
      <c r="G26" s="407">
        <f t="shared" si="11"/>
        <v>0</v>
      </c>
      <c r="H26" s="373">
        <f t="shared" si="11"/>
        <v>0</v>
      </c>
      <c r="I26" s="373">
        <f t="shared" si="11"/>
        <v>0</v>
      </c>
      <c r="J26" s="373">
        <f t="shared" si="11"/>
        <v>0</v>
      </c>
      <c r="K26" s="373">
        <f t="shared" si="11"/>
        <v>0</v>
      </c>
      <c r="L26" s="409">
        <f t="shared" si="11"/>
        <v>0</v>
      </c>
      <c r="M26" s="407">
        <f t="shared" si="11"/>
        <v>0</v>
      </c>
      <c r="N26" s="373">
        <f t="shared" si="11"/>
        <v>0</v>
      </c>
      <c r="O26" s="373">
        <f t="shared" si="11"/>
        <v>0</v>
      </c>
      <c r="P26" s="373">
        <f t="shared" si="11"/>
        <v>0</v>
      </c>
      <c r="Q26" s="373">
        <f t="shared" si="11"/>
        <v>0</v>
      </c>
      <c r="R26" s="409">
        <f t="shared" si="11"/>
        <v>0</v>
      </c>
      <c r="S26" s="407">
        <f t="shared" si="11"/>
        <v>0</v>
      </c>
      <c r="T26" s="373">
        <f t="shared" si="11"/>
        <v>0</v>
      </c>
      <c r="U26" s="373">
        <f t="shared" si="11"/>
        <v>0</v>
      </c>
      <c r="V26" s="373">
        <f t="shared" si="11"/>
        <v>0</v>
      </c>
      <c r="W26" s="373">
        <f t="shared" si="11"/>
        <v>0</v>
      </c>
      <c r="X26" s="409">
        <f t="shared" si="11"/>
        <v>0</v>
      </c>
      <c r="Y26" s="639">
        <f t="shared" si="11"/>
        <v>0</v>
      </c>
      <c r="Z26" s="373">
        <f t="shared" si="11"/>
        <v>0</v>
      </c>
      <c r="AA26" s="373">
        <f t="shared" si="11"/>
        <v>0</v>
      </c>
      <c r="AB26" s="373">
        <f t="shared" si="11"/>
        <v>0</v>
      </c>
      <c r="AC26" s="409">
        <f t="shared" si="11"/>
        <v>0</v>
      </c>
      <c r="AD26" s="849">
        <f t="shared" si="5"/>
        <v>0</v>
      </c>
      <c r="AE26" s="412"/>
      <c r="AF26" s="44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  <c r="BV26" s="287"/>
      <c r="BW26" s="287"/>
      <c r="BX26" s="287"/>
      <c r="BY26" s="287"/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/>
      <c r="CK26" s="287"/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/>
      <c r="DB26" s="287"/>
      <c r="DC26" s="287"/>
      <c r="DD26" s="287"/>
      <c r="DE26" s="287"/>
    </row>
    <row r="27" spans="1:113" s="288" customFormat="1" ht="21.95" customHeight="1">
      <c r="A27" s="944" t="s">
        <v>346</v>
      </c>
      <c r="B27" s="893" t="s">
        <v>212</v>
      </c>
      <c r="C27" s="762">
        <v>114.83</v>
      </c>
      <c r="D27" s="373">
        <v>135.65</v>
      </c>
      <c r="E27" s="373">
        <v>0</v>
      </c>
      <c r="F27" s="915">
        <f t="shared" ref="F27:F34" si="12">E27/$E$58*1000</f>
        <v>0</v>
      </c>
      <c r="G27" s="394">
        <f>$E27/$E$58*$G$58</f>
        <v>0</v>
      </c>
      <c r="H27" s="375">
        <f>$E27/$E$58*$H$58</f>
        <v>0</v>
      </c>
      <c r="I27" s="755"/>
      <c r="J27" s="755"/>
      <c r="K27" s="375">
        <f>$E27/$E$58*$K$58</f>
        <v>0</v>
      </c>
      <c r="L27" s="395">
        <f>K27/$K$58*1000</f>
        <v>0</v>
      </c>
      <c r="M27" s="394">
        <f>$E27/$E$58*$M$58</f>
        <v>0</v>
      </c>
      <c r="N27" s="375">
        <f>$E27/$E$58*$N$58</f>
        <v>0</v>
      </c>
      <c r="O27" s="755"/>
      <c r="P27" s="755"/>
      <c r="Q27" s="375">
        <f>$E27/$E$58*$Q$58</f>
        <v>0</v>
      </c>
      <c r="R27" s="915">
        <f>Q27/$Q$58*1000</f>
        <v>0</v>
      </c>
      <c r="S27" s="394">
        <f>$E27/$E$58*$S$58</f>
        <v>0</v>
      </c>
      <c r="T27" s="375">
        <f>$E27/$E$58*$T$58</f>
        <v>0</v>
      </c>
      <c r="U27" s="755"/>
      <c r="V27" s="755"/>
      <c r="W27" s="375">
        <f>$E27/$E$58*$W$58</f>
        <v>0</v>
      </c>
      <c r="X27" s="395">
        <f>W27/$W$58*1000</f>
        <v>0</v>
      </c>
      <c r="Y27" s="852">
        <f t="shared" ref="Y27:Y34" si="13">$E27/$E$58*$Y$58</f>
        <v>0</v>
      </c>
      <c r="Z27" s="375">
        <f t="shared" ref="Z27:Z34" si="14">$E27/$E$58*$Z$58</f>
        <v>0</v>
      </c>
      <c r="AA27" s="755"/>
      <c r="AB27" s="375">
        <f>$E27/$E$58*$AB$58</f>
        <v>0</v>
      </c>
      <c r="AC27" s="395">
        <f>AB27/$AB$58*1000</f>
        <v>0</v>
      </c>
      <c r="AD27" s="849">
        <f t="shared" si="5"/>
        <v>0</v>
      </c>
      <c r="AE27" s="412"/>
      <c r="AF27" s="44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/>
      <c r="BO27" s="287"/>
      <c r="BP27" s="287"/>
      <c r="BQ27" s="287"/>
      <c r="BR27" s="287"/>
      <c r="BS27" s="287"/>
      <c r="BT27" s="287"/>
      <c r="BU27" s="287"/>
      <c r="BV27" s="287"/>
      <c r="BW27" s="287"/>
      <c r="BX27" s="287"/>
      <c r="BY27" s="287"/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/>
      <c r="CK27" s="287"/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/>
      <c r="DB27" s="287"/>
      <c r="DC27" s="287"/>
      <c r="DD27" s="287"/>
      <c r="DE27" s="287"/>
    </row>
    <row r="28" spans="1:113" s="288" customFormat="1" ht="21.95" customHeight="1">
      <c r="A28" s="944" t="s">
        <v>347</v>
      </c>
      <c r="B28" s="893" t="s">
        <v>422</v>
      </c>
      <c r="C28" s="762">
        <f>0.027+0.018</f>
        <v>0.05</v>
      </c>
      <c r="D28" s="373">
        <f>0.037+0.019</f>
        <v>0.06</v>
      </c>
      <c r="E28" s="373">
        <v>0</v>
      </c>
      <c r="F28" s="915">
        <f t="shared" si="12"/>
        <v>0</v>
      </c>
      <c r="G28" s="394">
        <f>$E28/$E$58*$G$58</f>
        <v>0</v>
      </c>
      <c r="H28" s="375">
        <f>$E28/$E$58*$H$58</f>
        <v>0</v>
      </c>
      <c r="I28" s="755"/>
      <c r="J28" s="755"/>
      <c r="K28" s="375">
        <f>$E28/$E$58*$K$58</f>
        <v>0</v>
      </c>
      <c r="L28" s="395">
        <f>K28/$K$58*1000</f>
        <v>0</v>
      </c>
      <c r="M28" s="394">
        <f>$E28/$E$58*$M$58</f>
        <v>0</v>
      </c>
      <c r="N28" s="375">
        <f>$E28/$E$58*$N$58</f>
        <v>0</v>
      </c>
      <c r="O28" s="755"/>
      <c r="P28" s="755"/>
      <c r="Q28" s="375">
        <f>$E28/$E$58*$Q$58</f>
        <v>0</v>
      </c>
      <c r="R28" s="915">
        <f>Q28/$Q$58*1000</f>
        <v>0</v>
      </c>
      <c r="S28" s="394">
        <f>$E28/$E$58*$S$58</f>
        <v>0</v>
      </c>
      <c r="T28" s="375">
        <f>$E28/$E$58*$T$58</f>
        <v>0</v>
      </c>
      <c r="U28" s="755"/>
      <c r="V28" s="755"/>
      <c r="W28" s="375">
        <f>$E28/$E$58*$W$58</f>
        <v>0</v>
      </c>
      <c r="X28" s="395">
        <f>W28/$W$58*1000</f>
        <v>0</v>
      </c>
      <c r="Y28" s="852">
        <f t="shared" si="13"/>
        <v>0</v>
      </c>
      <c r="Z28" s="375">
        <f t="shared" si="14"/>
        <v>0</v>
      </c>
      <c r="AA28" s="755"/>
      <c r="AB28" s="375">
        <f>$E28/$E$58*$AB$58</f>
        <v>0</v>
      </c>
      <c r="AC28" s="395">
        <f>AB28/$AB$58*1000</f>
        <v>0</v>
      </c>
      <c r="AD28" s="849">
        <f t="shared" si="5"/>
        <v>0</v>
      </c>
      <c r="AE28" s="412"/>
      <c r="AF28" s="44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/>
      <c r="DE28" s="287"/>
    </row>
    <row r="29" spans="1:113" s="288" customFormat="1" ht="21.95" customHeight="1">
      <c r="A29" s="944" t="s">
        <v>425</v>
      </c>
      <c r="B29" s="893" t="s">
        <v>423</v>
      </c>
      <c r="C29" s="762">
        <v>0.96</v>
      </c>
      <c r="D29" s="373">
        <v>0.65</v>
      </c>
      <c r="E29" s="373">
        <v>0</v>
      </c>
      <c r="F29" s="915">
        <f t="shared" si="12"/>
        <v>0</v>
      </c>
      <c r="G29" s="394">
        <f>$E29/$E$58*$G$58</f>
        <v>0</v>
      </c>
      <c r="H29" s="375">
        <f>$E29/$E$58*$H$58</f>
        <v>0</v>
      </c>
      <c r="I29" s="755"/>
      <c r="J29" s="755"/>
      <c r="K29" s="375">
        <f>$E29/$E$58*$K$58</f>
        <v>0</v>
      </c>
      <c r="L29" s="395">
        <f>K29/$K$58*1000</f>
        <v>0</v>
      </c>
      <c r="M29" s="394">
        <f>$E29/$E$58*$M$58</f>
        <v>0</v>
      </c>
      <c r="N29" s="375">
        <f>$E29/$E$58*$N$58</f>
        <v>0</v>
      </c>
      <c r="O29" s="755"/>
      <c r="P29" s="755"/>
      <c r="Q29" s="375">
        <f>$E29/$E$58*$Q$58</f>
        <v>0</v>
      </c>
      <c r="R29" s="915">
        <f>Q29/$Q$58*1000</f>
        <v>0</v>
      </c>
      <c r="S29" s="394">
        <f>$E29/$E$58*$S$58</f>
        <v>0</v>
      </c>
      <c r="T29" s="375">
        <f>$E29/$E$58*$T$58</f>
        <v>0</v>
      </c>
      <c r="U29" s="755"/>
      <c r="V29" s="755"/>
      <c r="W29" s="375">
        <f>$E29/$E$58*$W$58</f>
        <v>0</v>
      </c>
      <c r="X29" s="395">
        <f>W29/$W$58*1000</f>
        <v>0</v>
      </c>
      <c r="Y29" s="852">
        <f t="shared" si="13"/>
        <v>0</v>
      </c>
      <c r="Z29" s="375">
        <f t="shared" si="14"/>
        <v>0</v>
      </c>
      <c r="AA29" s="755"/>
      <c r="AB29" s="375">
        <f>$E29/$E$58*$AB$58</f>
        <v>0</v>
      </c>
      <c r="AC29" s="395">
        <f>AB29/$AB$58*1000</f>
        <v>0</v>
      </c>
      <c r="AD29" s="849">
        <f t="shared" si="5"/>
        <v>0</v>
      </c>
      <c r="AE29" s="412"/>
      <c r="AF29" s="44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87"/>
      <c r="CC29" s="287"/>
      <c r="CD29" s="287"/>
      <c r="CE29" s="287"/>
      <c r="CF29" s="287"/>
      <c r="CG29" s="287"/>
      <c r="CH29" s="287"/>
      <c r="CI29" s="287"/>
      <c r="CJ29" s="287"/>
      <c r="CK29" s="287"/>
      <c r="CL29" s="287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/>
      <c r="DB29" s="287"/>
      <c r="DC29" s="287"/>
      <c r="DD29" s="287"/>
      <c r="DE29" s="287"/>
    </row>
    <row r="30" spans="1:113" s="290" customFormat="1" ht="33" customHeight="1">
      <c r="A30" s="944" t="s">
        <v>54</v>
      </c>
      <c r="B30" s="897" t="s">
        <v>345</v>
      </c>
      <c r="C30" s="788">
        <f>C31+C32</f>
        <v>41.7</v>
      </c>
      <c r="D30" s="375">
        <f>D31+D32</f>
        <v>35.340000000000003</v>
      </c>
      <c r="E30" s="375">
        <f>E31+E32</f>
        <v>91.02</v>
      </c>
      <c r="F30" s="915">
        <f t="shared" si="12"/>
        <v>0.38</v>
      </c>
      <c r="G30" s="394">
        <f t="shared" ref="G30:AC30" si="15">G31+G32</f>
        <v>50.45</v>
      </c>
      <c r="H30" s="375">
        <f t="shared" si="15"/>
        <v>58.73</v>
      </c>
      <c r="I30" s="375">
        <f t="shared" si="15"/>
        <v>21.58</v>
      </c>
      <c r="J30" s="375">
        <f t="shared" si="15"/>
        <v>0.11</v>
      </c>
      <c r="K30" s="375">
        <f t="shared" si="15"/>
        <v>78.150000000000006</v>
      </c>
      <c r="L30" s="395">
        <f t="shared" si="15"/>
        <v>0.38</v>
      </c>
      <c r="M30" s="394">
        <f t="shared" si="15"/>
        <v>8.19</v>
      </c>
      <c r="N30" s="375">
        <f t="shared" si="15"/>
        <v>8.65</v>
      </c>
      <c r="O30" s="375">
        <f>O31+O32-0.01</f>
        <v>2.86</v>
      </c>
      <c r="P30" s="375">
        <f t="shared" si="15"/>
        <v>0.11</v>
      </c>
      <c r="Q30" s="375">
        <f t="shared" si="15"/>
        <v>10.19</v>
      </c>
      <c r="R30" s="395">
        <f t="shared" si="15"/>
        <v>0.38</v>
      </c>
      <c r="S30" s="394">
        <f t="shared" si="15"/>
        <v>1.34</v>
      </c>
      <c r="T30" s="375">
        <f t="shared" si="15"/>
        <v>1.33</v>
      </c>
      <c r="U30" s="375">
        <f t="shared" si="15"/>
        <v>0.94</v>
      </c>
      <c r="V30" s="375">
        <f t="shared" si="15"/>
        <v>0.11</v>
      </c>
      <c r="W30" s="375">
        <f t="shared" si="15"/>
        <v>2.65</v>
      </c>
      <c r="X30" s="395">
        <f t="shared" si="15"/>
        <v>0.38</v>
      </c>
      <c r="Y30" s="852">
        <f t="shared" si="15"/>
        <v>0.01</v>
      </c>
      <c r="Z30" s="375">
        <f t="shared" si="15"/>
        <v>0.01</v>
      </c>
      <c r="AA30" s="375">
        <f t="shared" si="15"/>
        <v>0.11</v>
      </c>
      <c r="AB30" s="375">
        <f t="shared" si="15"/>
        <v>0.03</v>
      </c>
      <c r="AC30" s="395">
        <f t="shared" si="15"/>
        <v>0.38</v>
      </c>
      <c r="AD30" s="849">
        <f t="shared" si="5"/>
        <v>0</v>
      </c>
    </row>
    <row r="31" spans="1:113" s="290" customFormat="1" ht="21.95" customHeight="1">
      <c r="A31" s="1018" t="s">
        <v>430</v>
      </c>
      <c r="B31" s="893" t="s">
        <v>53</v>
      </c>
      <c r="C31" s="788">
        <v>30.55</v>
      </c>
      <c r="D31" s="375">
        <v>28.97</v>
      </c>
      <c r="E31" s="375">
        <f>260.63*28.625%</f>
        <v>74.61</v>
      </c>
      <c r="F31" s="915">
        <f t="shared" si="12"/>
        <v>0.31</v>
      </c>
      <c r="G31" s="394">
        <f>$E31/$E$58*$G$58</f>
        <v>41.35</v>
      </c>
      <c r="H31" s="375">
        <f>$E31/$E$58*$H$58</f>
        <v>48.14</v>
      </c>
      <c r="I31" s="375">
        <v>17.690000000000001</v>
      </c>
      <c r="J31" s="375">
        <f>I31/$I$58*1000</f>
        <v>0.09</v>
      </c>
      <c r="K31" s="375">
        <f>$E31/$E$58*$K$58-0.01</f>
        <v>64.06</v>
      </c>
      <c r="L31" s="395">
        <f>K31/$K$58*1000</f>
        <v>0.31</v>
      </c>
      <c r="M31" s="394">
        <f>$E31/$E$58*$M$58</f>
        <v>6.71</v>
      </c>
      <c r="N31" s="375">
        <f>$E31/$E$58*$N$58</f>
        <v>7.09</v>
      </c>
      <c r="O31" s="375">
        <v>2.35</v>
      </c>
      <c r="P31" s="375">
        <f>O31/$O$58*1000</f>
        <v>0.09</v>
      </c>
      <c r="Q31" s="375">
        <f>$E31/$E$58*$Q$58</f>
        <v>8.35</v>
      </c>
      <c r="R31" s="915">
        <f>Q31/$Q$58*1000-0.01</f>
        <v>0.31</v>
      </c>
      <c r="S31" s="394">
        <f>$E31/$E$58*$S$58</f>
        <v>1.1000000000000001</v>
      </c>
      <c r="T31" s="375">
        <f>$E31/$E$58*$T$58</f>
        <v>1.0900000000000001</v>
      </c>
      <c r="U31" s="375">
        <v>0.77</v>
      </c>
      <c r="V31" s="375">
        <f>U31/$U$58*1000</f>
        <v>0.09</v>
      </c>
      <c r="W31" s="375">
        <f>$E31/$E$58*$W$58</f>
        <v>2.1800000000000002</v>
      </c>
      <c r="X31" s="395">
        <f>W31/$W$58*1000-0.01</f>
        <v>0.31</v>
      </c>
      <c r="Y31" s="852">
        <f t="shared" si="13"/>
        <v>0.01</v>
      </c>
      <c r="Z31" s="375">
        <f t="shared" si="14"/>
        <v>0.01</v>
      </c>
      <c r="AA31" s="375">
        <f>V31</f>
        <v>0.09</v>
      </c>
      <c r="AB31" s="375">
        <f>$E31/$E$58*$AB$58</f>
        <v>0.02</v>
      </c>
      <c r="AC31" s="395">
        <f>AB31/$AB$58*1000-0.02</f>
        <v>0.31</v>
      </c>
      <c r="AD31" s="849">
        <f t="shared" si="5"/>
        <v>0</v>
      </c>
    </row>
    <row r="32" spans="1:113" s="290" customFormat="1" ht="21.95" customHeight="1">
      <c r="A32" s="1018" t="s">
        <v>431</v>
      </c>
      <c r="B32" s="893" t="s">
        <v>45</v>
      </c>
      <c r="C32" s="788">
        <v>11.15</v>
      </c>
      <c r="D32" s="375">
        <v>6.37</v>
      </c>
      <c r="E32" s="375">
        <f>57.34*28.625%</f>
        <v>16.41</v>
      </c>
      <c r="F32" s="915">
        <f t="shared" si="12"/>
        <v>7.0000000000000007E-2</v>
      </c>
      <c r="G32" s="394">
        <f>$E32/$E$58*$G$58</f>
        <v>9.1</v>
      </c>
      <c r="H32" s="375">
        <f>$E32/$E$58*$H$58</f>
        <v>10.59</v>
      </c>
      <c r="I32" s="375">
        <v>3.89</v>
      </c>
      <c r="J32" s="375">
        <f>I32/$I$58*1000</f>
        <v>0.02</v>
      </c>
      <c r="K32" s="375">
        <f>$E32/$E$58*$K$58</f>
        <v>14.09</v>
      </c>
      <c r="L32" s="395">
        <f>K32/$K$58*1000</f>
        <v>7.0000000000000007E-2</v>
      </c>
      <c r="M32" s="394">
        <f>$E32/$E$58*$M$58</f>
        <v>1.48</v>
      </c>
      <c r="N32" s="375">
        <f>$E32/$E$58*$N$58</f>
        <v>1.56</v>
      </c>
      <c r="O32" s="375">
        <v>0.52</v>
      </c>
      <c r="P32" s="375">
        <f>O32/$O$58*1000</f>
        <v>0.02</v>
      </c>
      <c r="Q32" s="375">
        <f>$E32/$E$58*$Q$58</f>
        <v>1.84</v>
      </c>
      <c r="R32" s="915">
        <f>Q32/$Q$58*1000</f>
        <v>7.0000000000000007E-2</v>
      </c>
      <c r="S32" s="394">
        <f>$E32/$E$58*$S$58</f>
        <v>0.24</v>
      </c>
      <c r="T32" s="375">
        <f>$E32/$E$58*$T$58</f>
        <v>0.24</v>
      </c>
      <c r="U32" s="375">
        <v>0.17</v>
      </c>
      <c r="V32" s="375">
        <f>U32/$U$58*1000</f>
        <v>0.02</v>
      </c>
      <c r="W32" s="375">
        <f>$E32/$E$58*$W$58-0.01</f>
        <v>0.47</v>
      </c>
      <c r="X32" s="395">
        <f>W32/$W$58*1000</f>
        <v>7.0000000000000007E-2</v>
      </c>
      <c r="Y32" s="852">
        <f t="shared" si="13"/>
        <v>0</v>
      </c>
      <c r="Z32" s="375">
        <f t="shared" si="14"/>
        <v>0</v>
      </c>
      <c r="AA32" s="375">
        <f>V32</f>
        <v>0.02</v>
      </c>
      <c r="AB32" s="375">
        <f>$E32/$E$58*$AB$58+0.01</f>
        <v>0.01</v>
      </c>
      <c r="AC32" s="395">
        <f>AB32/$AB$58*1000-0.09</f>
        <v>7.0000000000000007E-2</v>
      </c>
      <c r="AD32" s="849">
        <f t="shared" si="5"/>
        <v>0</v>
      </c>
    </row>
    <row r="33" spans="1:109" s="290" customFormat="1" ht="21.95" customHeight="1">
      <c r="A33" s="1018" t="s">
        <v>55</v>
      </c>
      <c r="B33" s="899" t="s">
        <v>47</v>
      </c>
      <c r="C33" s="788">
        <v>4.41</v>
      </c>
      <c r="D33" s="375">
        <v>4.6900000000000004</v>
      </c>
      <c r="E33" s="375">
        <v>0</v>
      </c>
      <c r="F33" s="915">
        <f t="shared" si="12"/>
        <v>0</v>
      </c>
      <c r="G33" s="394">
        <f>$E33/$E$58*$G$58</f>
        <v>0</v>
      </c>
      <c r="H33" s="375">
        <f>$E33/$E$58*$H$58</f>
        <v>0</v>
      </c>
      <c r="I33" s="375"/>
      <c r="J33" s="375"/>
      <c r="K33" s="375">
        <f>$E33/$E$58*$K$58</f>
        <v>0</v>
      </c>
      <c r="L33" s="395">
        <f>K33/$K$58*1000</f>
        <v>0</v>
      </c>
      <c r="M33" s="394">
        <f>$E33/$E$58*$M$58</f>
        <v>0</v>
      </c>
      <c r="N33" s="375">
        <f>$E33/$E$58*$N$58</f>
        <v>0</v>
      </c>
      <c r="O33" s="375"/>
      <c r="P33" s="375"/>
      <c r="Q33" s="375">
        <f>$E33/$E$58*$Q$58</f>
        <v>0</v>
      </c>
      <c r="R33" s="915">
        <f>Q33/$Q$58*1000</f>
        <v>0</v>
      </c>
      <c r="S33" s="394">
        <f>$E33/$E$58*$S$58</f>
        <v>0</v>
      </c>
      <c r="T33" s="375">
        <f>$E33/$E$58*$T$58</f>
        <v>0</v>
      </c>
      <c r="U33" s="375"/>
      <c r="V33" s="375"/>
      <c r="W33" s="375">
        <f>$E33/$E$58*$W$58</f>
        <v>0</v>
      </c>
      <c r="X33" s="395">
        <f>W33/$W$58*1000</f>
        <v>0</v>
      </c>
      <c r="Y33" s="852">
        <f t="shared" si="13"/>
        <v>0</v>
      </c>
      <c r="Z33" s="375">
        <f t="shared" si="14"/>
        <v>0</v>
      </c>
      <c r="AA33" s="375"/>
      <c r="AB33" s="375">
        <f>$E33/$E$58*$AB$58</f>
        <v>0</v>
      </c>
      <c r="AC33" s="395">
        <f>AB33/$AB$58*1000</f>
        <v>0</v>
      </c>
      <c r="AD33" s="849">
        <f t="shared" si="5"/>
        <v>0</v>
      </c>
    </row>
    <row r="34" spans="1:109" s="290" customFormat="1" ht="21.95" customHeight="1">
      <c r="A34" s="944" t="s">
        <v>432</v>
      </c>
      <c r="B34" s="897" t="s">
        <v>56</v>
      </c>
      <c r="C34" s="788">
        <v>1.74</v>
      </c>
      <c r="D34" s="375">
        <v>2.7</v>
      </c>
      <c r="E34" s="375">
        <v>0</v>
      </c>
      <c r="F34" s="915">
        <f t="shared" si="12"/>
        <v>0</v>
      </c>
      <c r="G34" s="394">
        <f>$E34/$E$58*$G$58</f>
        <v>0</v>
      </c>
      <c r="H34" s="375">
        <f>$E34/$E$58*$H$58</f>
        <v>0</v>
      </c>
      <c r="I34" s="375">
        <v>2.25</v>
      </c>
      <c r="J34" s="375">
        <f>I34/$I$58*1000</f>
        <v>0.01</v>
      </c>
      <c r="K34" s="375">
        <f>$E34/$E$58*$K$58</f>
        <v>0</v>
      </c>
      <c r="L34" s="393">
        <f>K34/$K$58*1000</f>
        <v>0</v>
      </c>
      <c r="M34" s="394">
        <f>$E34/$E$58*$M$58</f>
        <v>0</v>
      </c>
      <c r="N34" s="375">
        <f>$E34/$E$58*$N$58</f>
        <v>0</v>
      </c>
      <c r="O34" s="375">
        <f>'Додаток3 скор'!O31</f>
        <v>0.3</v>
      </c>
      <c r="P34" s="375">
        <f>O34/$O$58*1000</f>
        <v>0.01</v>
      </c>
      <c r="Q34" s="375">
        <f>$E34/$E$58*$Q$58</f>
        <v>0</v>
      </c>
      <c r="R34" s="915">
        <f>Q34/$Q$58*1000</f>
        <v>0</v>
      </c>
      <c r="S34" s="394">
        <f>$E34/$E$58*$S$58</f>
        <v>0</v>
      </c>
      <c r="T34" s="375">
        <f>$E34/$E$58*$T$58</f>
        <v>0</v>
      </c>
      <c r="U34" s="375">
        <v>0.1</v>
      </c>
      <c r="V34" s="375">
        <f>U34/$U$58*1000</f>
        <v>0.01</v>
      </c>
      <c r="W34" s="375">
        <f>$E34/$E$58*$W$58</f>
        <v>0</v>
      </c>
      <c r="X34" s="395">
        <f>W34/$W$58*1000</f>
        <v>0</v>
      </c>
      <c r="Y34" s="852">
        <f t="shared" si="13"/>
        <v>0</v>
      </c>
      <c r="Z34" s="375">
        <f t="shared" si="14"/>
        <v>0</v>
      </c>
      <c r="AA34" s="375">
        <f>V34</f>
        <v>0.01</v>
      </c>
      <c r="AB34" s="375">
        <f>$E34/$E$58*$AB$58</f>
        <v>0</v>
      </c>
      <c r="AC34" s="395">
        <f>AB34/$AB$58*1000</f>
        <v>0</v>
      </c>
      <c r="AD34" s="849">
        <f t="shared" si="5"/>
        <v>0</v>
      </c>
    </row>
    <row r="35" spans="1:109" s="290" customFormat="1" ht="21.95" customHeight="1">
      <c r="A35" s="1017">
        <v>2</v>
      </c>
      <c r="B35" s="891" t="s">
        <v>141</v>
      </c>
      <c r="C35" s="789">
        <f>C36+C40+C43+C44</f>
        <v>602.63</v>
      </c>
      <c r="D35" s="582">
        <f>D36+D40+D43+D44</f>
        <v>640.5</v>
      </c>
      <c r="E35" s="582">
        <f>E36+E40+E43+E44</f>
        <v>1218.93</v>
      </c>
      <c r="F35" s="393">
        <f t="shared" ref="F35:AC35" si="16">F36+F40+F43+F44</f>
        <v>5.15</v>
      </c>
      <c r="G35" s="392">
        <f t="shared" si="16"/>
        <v>675.59</v>
      </c>
      <c r="H35" s="582">
        <f t="shared" si="16"/>
        <v>786.51</v>
      </c>
      <c r="I35" s="582">
        <f t="shared" si="16"/>
        <v>280.48</v>
      </c>
      <c r="J35" s="582">
        <f t="shared" si="16"/>
        <v>1.36</v>
      </c>
      <c r="K35" s="582">
        <f t="shared" si="16"/>
        <v>1046.6600000000001</v>
      </c>
      <c r="L35" s="393">
        <f t="shared" si="16"/>
        <v>5.15</v>
      </c>
      <c r="M35" s="392">
        <f t="shared" si="16"/>
        <v>109.7</v>
      </c>
      <c r="N35" s="582">
        <f t="shared" si="16"/>
        <v>115.77</v>
      </c>
      <c r="O35" s="582">
        <f t="shared" si="16"/>
        <v>37.22</v>
      </c>
      <c r="P35" s="582">
        <f t="shared" si="16"/>
        <v>1.36</v>
      </c>
      <c r="Q35" s="582">
        <f t="shared" si="16"/>
        <v>136.41</v>
      </c>
      <c r="R35" s="393">
        <f t="shared" si="16"/>
        <v>5.15</v>
      </c>
      <c r="S35" s="392">
        <f t="shared" si="16"/>
        <v>17.920000000000002</v>
      </c>
      <c r="T35" s="582">
        <f t="shared" si="16"/>
        <v>17.79</v>
      </c>
      <c r="U35" s="582">
        <f t="shared" si="16"/>
        <v>12.21</v>
      </c>
      <c r="V35" s="582">
        <f>V36+V40+V43+V44+0.01</f>
        <v>1.37</v>
      </c>
      <c r="W35" s="582">
        <f t="shared" si="16"/>
        <v>35.549999999999997</v>
      </c>
      <c r="X35" s="393">
        <f t="shared" si="16"/>
        <v>5.15</v>
      </c>
      <c r="Y35" s="648">
        <f t="shared" si="16"/>
        <v>0.18</v>
      </c>
      <c r="Z35" s="582">
        <f t="shared" si="16"/>
        <v>0.21</v>
      </c>
      <c r="AA35" s="582">
        <f t="shared" si="16"/>
        <v>1.36</v>
      </c>
      <c r="AB35" s="582">
        <f t="shared" si="16"/>
        <v>0.31</v>
      </c>
      <c r="AC35" s="393">
        <f t="shared" si="16"/>
        <v>5.15</v>
      </c>
      <c r="AD35" s="849">
        <f t="shared" si="5"/>
        <v>0</v>
      </c>
    </row>
    <row r="36" spans="1:109" s="288" customFormat="1" ht="21.95" customHeight="1">
      <c r="A36" s="944" t="s">
        <v>59</v>
      </c>
      <c r="B36" s="897" t="s">
        <v>424</v>
      </c>
      <c r="C36" s="762">
        <f>SUM(C37:C39)</f>
        <v>38.49</v>
      </c>
      <c r="D36" s="373">
        <f t="shared" ref="D36:AC36" si="17">SUM(D37:D39)</f>
        <v>41.24</v>
      </c>
      <c r="E36" s="373">
        <f t="shared" si="17"/>
        <v>0</v>
      </c>
      <c r="F36" s="778">
        <f t="shared" si="17"/>
        <v>0</v>
      </c>
      <c r="G36" s="407">
        <f t="shared" si="17"/>
        <v>0</v>
      </c>
      <c r="H36" s="373">
        <f t="shared" si="17"/>
        <v>0</v>
      </c>
      <c r="I36" s="373">
        <f t="shared" si="17"/>
        <v>0</v>
      </c>
      <c r="J36" s="373">
        <f t="shared" si="17"/>
        <v>0</v>
      </c>
      <c r="K36" s="373">
        <f t="shared" si="17"/>
        <v>0</v>
      </c>
      <c r="L36" s="409">
        <f t="shared" si="17"/>
        <v>0</v>
      </c>
      <c r="M36" s="407">
        <f t="shared" si="17"/>
        <v>0</v>
      </c>
      <c r="N36" s="373">
        <f t="shared" si="17"/>
        <v>0</v>
      </c>
      <c r="O36" s="373">
        <f t="shared" si="17"/>
        <v>0</v>
      </c>
      <c r="P36" s="373">
        <f t="shared" si="17"/>
        <v>0</v>
      </c>
      <c r="Q36" s="373">
        <f t="shared" si="17"/>
        <v>0</v>
      </c>
      <c r="R36" s="409">
        <f t="shared" si="17"/>
        <v>0</v>
      </c>
      <c r="S36" s="407">
        <f t="shared" si="17"/>
        <v>0</v>
      </c>
      <c r="T36" s="373">
        <f t="shared" si="17"/>
        <v>0</v>
      </c>
      <c r="U36" s="373">
        <f t="shared" si="17"/>
        <v>0</v>
      </c>
      <c r="V36" s="373">
        <f t="shared" si="17"/>
        <v>0</v>
      </c>
      <c r="W36" s="373">
        <f t="shared" si="17"/>
        <v>0</v>
      </c>
      <c r="X36" s="409">
        <f t="shared" si="17"/>
        <v>0</v>
      </c>
      <c r="Y36" s="639">
        <f t="shared" si="17"/>
        <v>0</v>
      </c>
      <c r="Z36" s="373">
        <f t="shared" si="17"/>
        <v>0</v>
      </c>
      <c r="AA36" s="373">
        <f t="shared" si="17"/>
        <v>0</v>
      </c>
      <c r="AB36" s="373">
        <f t="shared" si="17"/>
        <v>0</v>
      </c>
      <c r="AC36" s="409">
        <f t="shared" si="17"/>
        <v>0</v>
      </c>
      <c r="AD36" s="849">
        <f t="shared" si="5"/>
        <v>0</v>
      </c>
      <c r="AE36" s="412"/>
      <c r="AF36" s="44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  <c r="BO36" s="287"/>
      <c r="BP36" s="287"/>
      <c r="BQ36" s="287"/>
      <c r="BR36" s="287"/>
      <c r="BS36" s="287"/>
      <c r="BT36" s="287"/>
      <c r="BU36" s="287"/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/>
      <c r="DE36" s="287"/>
    </row>
    <row r="37" spans="1:109" s="288" customFormat="1" ht="21.95" customHeight="1">
      <c r="A37" s="944" t="s">
        <v>348</v>
      </c>
      <c r="B37" s="893" t="s">
        <v>212</v>
      </c>
      <c r="C37" s="407">
        <v>8.14</v>
      </c>
      <c r="D37" s="373">
        <v>9.99</v>
      </c>
      <c r="E37" s="373">
        <v>0</v>
      </c>
      <c r="F37" s="395">
        <f t="shared" ref="F37:F47" si="18">E37/$E$58*1000</f>
        <v>0</v>
      </c>
      <c r="G37" s="394">
        <f>$E37/$E$58*$G$58</f>
        <v>0</v>
      </c>
      <c r="H37" s="375">
        <f>$E37/$E$58*$H$58</f>
        <v>0</v>
      </c>
      <c r="I37" s="755"/>
      <c r="J37" s="755"/>
      <c r="K37" s="375">
        <f>$E37/$E$58*$K$58</f>
        <v>0</v>
      </c>
      <c r="L37" s="395">
        <f>K37/$K$58*1000</f>
        <v>0</v>
      </c>
      <c r="M37" s="394">
        <f>$E37/$E$58*$M$58</f>
        <v>0</v>
      </c>
      <c r="N37" s="375">
        <f>$E37/$E$58*$N$58</f>
        <v>0</v>
      </c>
      <c r="O37" s="755"/>
      <c r="P37" s="755"/>
      <c r="Q37" s="375">
        <f>$E37/$E$58*$Q$58</f>
        <v>0</v>
      </c>
      <c r="R37" s="915">
        <f>Q37/$Q$58*1000</f>
        <v>0</v>
      </c>
      <c r="S37" s="394">
        <f>$E37/$E$58*$S$58</f>
        <v>0</v>
      </c>
      <c r="T37" s="375">
        <f>$E37/$E$58*$T$58</f>
        <v>0</v>
      </c>
      <c r="U37" s="755"/>
      <c r="V37" s="755"/>
      <c r="W37" s="375">
        <f>$E37/$E$58*$W$58</f>
        <v>0</v>
      </c>
      <c r="X37" s="395">
        <f>W37/$W$58*1000</f>
        <v>0</v>
      </c>
      <c r="Y37" s="852">
        <f>$E37/$E$58*$Y$58</f>
        <v>0</v>
      </c>
      <c r="Z37" s="375">
        <f>$E37/$E$58*$Z$58</f>
        <v>0</v>
      </c>
      <c r="AA37" s="755"/>
      <c r="AB37" s="375">
        <f>$E37/$E$58*$AB$58</f>
        <v>0</v>
      </c>
      <c r="AC37" s="395">
        <f>AB37/$AB$58*1000</f>
        <v>0</v>
      </c>
      <c r="AD37" s="849">
        <f t="shared" si="5"/>
        <v>0</v>
      </c>
      <c r="AE37" s="412"/>
      <c r="AF37" s="44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87"/>
      <c r="CC37" s="287"/>
      <c r="CD37" s="287"/>
      <c r="CE37" s="287"/>
      <c r="CF37" s="287"/>
      <c r="CG37" s="287"/>
      <c r="CH37" s="287"/>
      <c r="CI37" s="287"/>
      <c r="CJ37" s="287"/>
      <c r="CK37" s="287"/>
      <c r="CL37" s="287"/>
      <c r="CM37" s="287"/>
      <c r="CN37" s="287"/>
      <c r="CO37" s="287"/>
      <c r="CP37" s="287"/>
      <c r="CQ37" s="287"/>
      <c r="CR37" s="287"/>
      <c r="CS37" s="287"/>
      <c r="CT37" s="287"/>
      <c r="CU37" s="287"/>
      <c r="CV37" s="287"/>
      <c r="CW37" s="287"/>
      <c r="CX37" s="287"/>
      <c r="CY37" s="287"/>
      <c r="CZ37" s="287"/>
      <c r="DA37" s="287"/>
      <c r="DB37" s="287"/>
      <c r="DC37" s="287"/>
      <c r="DD37" s="287"/>
      <c r="DE37" s="287"/>
    </row>
    <row r="38" spans="1:109" s="288" customFormat="1" ht="21.95" customHeight="1">
      <c r="A38" s="944" t="s">
        <v>349</v>
      </c>
      <c r="B38" s="893" t="s">
        <v>422</v>
      </c>
      <c r="C38" s="407">
        <f>0.22+0.15</f>
        <v>0.37</v>
      </c>
      <c r="D38" s="373">
        <f>0.23+0.16</f>
        <v>0.39</v>
      </c>
      <c r="E38" s="373">
        <v>0</v>
      </c>
      <c r="F38" s="395">
        <f t="shared" si="18"/>
        <v>0</v>
      </c>
      <c r="G38" s="394">
        <f>$E38/$E$58*$G$58</f>
        <v>0</v>
      </c>
      <c r="H38" s="375">
        <f>$E38/$E$58*$H$58</f>
        <v>0</v>
      </c>
      <c r="I38" s="755"/>
      <c r="J38" s="755"/>
      <c r="K38" s="375">
        <f>$E38/$E$58*$K$58</f>
        <v>0</v>
      </c>
      <c r="L38" s="395">
        <f>K38/$K$58*1000</f>
        <v>0</v>
      </c>
      <c r="M38" s="394">
        <f>$E38/$E$58*$M$58</f>
        <v>0</v>
      </c>
      <c r="N38" s="375">
        <f>$E38/$E$58*$N$58</f>
        <v>0</v>
      </c>
      <c r="O38" s="755"/>
      <c r="P38" s="755"/>
      <c r="Q38" s="375">
        <f>$E38/$E$58*$Q$58</f>
        <v>0</v>
      </c>
      <c r="R38" s="915">
        <f>Q38/$Q$58*1000</f>
        <v>0</v>
      </c>
      <c r="S38" s="394">
        <f>$E38/$E$58*$S$58</f>
        <v>0</v>
      </c>
      <c r="T38" s="375">
        <f>$E38/$E$58*$T$58</f>
        <v>0</v>
      </c>
      <c r="U38" s="755"/>
      <c r="V38" s="755"/>
      <c r="W38" s="375">
        <f>$E38/$E$58*$W$58</f>
        <v>0</v>
      </c>
      <c r="X38" s="395">
        <f>W38/$W$58*1000</f>
        <v>0</v>
      </c>
      <c r="Y38" s="852">
        <f>$E38/$E$58*$Y$58</f>
        <v>0</v>
      </c>
      <c r="Z38" s="375">
        <f>$E38/$E$58*$Z$58</f>
        <v>0</v>
      </c>
      <c r="AA38" s="755"/>
      <c r="AB38" s="375">
        <f>$E38/$E$58*$AB$58</f>
        <v>0</v>
      </c>
      <c r="AC38" s="395">
        <f>AB38/$AB$58*1000</f>
        <v>0</v>
      </c>
      <c r="AD38" s="849">
        <f t="shared" si="5"/>
        <v>0</v>
      </c>
      <c r="AE38" s="412"/>
      <c r="AF38" s="44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287"/>
      <c r="BU38" s="287"/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287"/>
      <c r="DA38" s="287"/>
      <c r="DB38" s="287"/>
      <c r="DC38" s="287"/>
      <c r="DD38" s="287"/>
      <c r="DE38" s="287"/>
    </row>
    <row r="39" spans="1:109" s="288" customFormat="1" ht="21.95" customHeight="1">
      <c r="A39" s="944" t="s">
        <v>426</v>
      </c>
      <c r="B39" s="893" t="s">
        <v>423</v>
      </c>
      <c r="C39" s="407">
        <f>25.5+4.48</f>
        <v>29.98</v>
      </c>
      <c r="D39" s="373">
        <v>30.86</v>
      </c>
      <c r="E39" s="373">
        <v>0</v>
      </c>
      <c r="F39" s="395">
        <f t="shared" si="18"/>
        <v>0</v>
      </c>
      <c r="G39" s="394">
        <f>$E39/$E$58*$G$58</f>
        <v>0</v>
      </c>
      <c r="H39" s="375">
        <f>$E39/$E$58*$H$58</f>
        <v>0</v>
      </c>
      <c r="I39" s="755"/>
      <c r="J39" s="755"/>
      <c r="K39" s="375">
        <f>$E39/$E$58*$K$58</f>
        <v>0</v>
      </c>
      <c r="L39" s="395">
        <f>K39/$K$58*1000</f>
        <v>0</v>
      </c>
      <c r="M39" s="394">
        <f>$E39/$E$58*$M$58</f>
        <v>0</v>
      </c>
      <c r="N39" s="375">
        <f>$E39/$E$58*$N$58</f>
        <v>0</v>
      </c>
      <c r="O39" s="755"/>
      <c r="P39" s="755"/>
      <c r="Q39" s="375">
        <f>$E39/$E$58*$Q$58</f>
        <v>0</v>
      </c>
      <c r="R39" s="915">
        <f>Q39/$Q$58*1000</f>
        <v>0</v>
      </c>
      <c r="S39" s="394">
        <f>$E39/$E$58*$S$58</f>
        <v>0</v>
      </c>
      <c r="T39" s="375">
        <f>$E39/$E$58*$T$58</f>
        <v>0</v>
      </c>
      <c r="U39" s="755"/>
      <c r="V39" s="755"/>
      <c r="W39" s="375">
        <f>$E39/$E$58*$W$58</f>
        <v>0</v>
      </c>
      <c r="X39" s="395">
        <f>W39/$W$58*1000</f>
        <v>0</v>
      </c>
      <c r="Y39" s="852">
        <f>$E39/$E$58*$Y$58</f>
        <v>0</v>
      </c>
      <c r="Z39" s="375">
        <f>$E39/$E$58*$Z$58</f>
        <v>0</v>
      </c>
      <c r="AA39" s="755"/>
      <c r="AB39" s="375">
        <f>$E39/$E$58*$AB$58</f>
        <v>0</v>
      </c>
      <c r="AC39" s="395">
        <f>AB39/$AB$58*1000</f>
        <v>0</v>
      </c>
      <c r="AD39" s="849">
        <f t="shared" si="5"/>
        <v>0</v>
      </c>
      <c r="AE39" s="412"/>
      <c r="AF39" s="44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  <c r="CI39" s="287"/>
      <c r="CJ39" s="287"/>
      <c r="CK39" s="287"/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/>
      <c r="DB39" s="287"/>
      <c r="DC39" s="287"/>
      <c r="DD39" s="287"/>
      <c r="DE39" s="287"/>
    </row>
    <row r="40" spans="1:109" s="290" customFormat="1" ht="37.5" customHeight="1">
      <c r="A40" s="944" t="s">
        <v>60</v>
      </c>
      <c r="B40" s="897" t="s">
        <v>345</v>
      </c>
      <c r="C40" s="394">
        <f>C41+C42</f>
        <v>504.29</v>
      </c>
      <c r="D40" s="375">
        <f>D41+D42</f>
        <v>507.61</v>
      </c>
      <c r="E40" s="815">
        <f>E41+E42</f>
        <v>1218.93</v>
      </c>
      <c r="F40" s="395">
        <f t="shared" si="18"/>
        <v>5.15</v>
      </c>
      <c r="G40" s="394">
        <f t="shared" ref="G40:AC40" si="19">G41+G42</f>
        <v>675.59</v>
      </c>
      <c r="H40" s="375">
        <f t="shared" si="19"/>
        <v>786.51</v>
      </c>
      <c r="I40" s="375">
        <f t="shared" si="19"/>
        <v>249.08</v>
      </c>
      <c r="J40" s="375">
        <f t="shared" si="19"/>
        <v>1.21</v>
      </c>
      <c r="K40" s="375">
        <f t="shared" si="19"/>
        <v>1046.6600000000001</v>
      </c>
      <c r="L40" s="395">
        <f t="shared" si="19"/>
        <v>5.15</v>
      </c>
      <c r="M40" s="854">
        <f t="shared" si="19"/>
        <v>109.7</v>
      </c>
      <c r="N40" s="815">
        <f t="shared" si="19"/>
        <v>115.77</v>
      </c>
      <c r="O40" s="815">
        <f t="shared" si="19"/>
        <v>33.049999999999997</v>
      </c>
      <c r="P40" s="815">
        <f t="shared" si="19"/>
        <v>1.21</v>
      </c>
      <c r="Q40" s="815">
        <f t="shared" si="19"/>
        <v>136.41</v>
      </c>
      <c r="R40" s="914">
        <f t="shared" si="19"/>
        <v>5.15</v>
      </c>
      <c r="S40" s="394">
        <f t="shared" si="19"/>
        <v>17.920000000000002</v>
      </c>
      <c r="T40" s="375">
        <f t="shared" si="19"/>
        <v>17.79</v>
      </c>
      <c r="U40" s="375">
        <f>U41+U42-0.01</f>
        <v>10.84</v>
      </c>
      <c r="V40" s="375">
        <f t="shared" si="19"/>
        <v>1.21</v>
      </c>
      <c r="W40" s="375">
        <f t="shared" si="19"/>
        <v>35.549999999999997</v>
      </c>
      <c r="X40" s="395">
        <f t="shared" si="19"/>
        <v>5.15</v>
      </c>
      <c r="Y40" s="852">
        <f t="shared" si="19"/>
        <v>0.18</v>
      </c>
      <c r="Z40" s="375">
        <f t="shared" si="19"/>
        <v>0.21</v>
      </c>
      <c r="AA40" s="375">
        <f t="shared" si="19"/>
        <v>1.21</v>
      </c>
      <c r="AB40" s="375">
        <f t="shared" si="19"/>
        <v>0.31</v>
      </c>
      <c r="AC40" s="395">
        <f t="shared" si="19"/>
        <v>5.15</v>
      </c>
      <c r="AD40" s="849">
        <f t="shared" si="5"/>
        <v>0</v>
      </c>
    </row>
    <row r="41" spans="1:109" s="290" customFormat="1" ht="21.95" customHeight="1">
      <c r="A41" s="944" t="s">
        <v>427</v>
      </c>
      <c r="B41" s="893" t="s">
        <v>53</v>
      </c>
      <c r="C41" s="394">
        <v>372.98</v>
      </c>
      <c r="D41" s="375">
        <v>419.37</v>
      </c>
      <c r="E41" s="815">
        <f>3490.38*28.625%</f>
        <v>999.12</v>
      </c>
      <c r="F41" s="395">
        <f t="shared" si="18"/>
        <v>4.22</v>
      </c>
      <c r="G41" s="394">
        <f>$E41/$E$58*$G$58</f>
        <v>553.76</v>
      </c>
      <c r="H41" s="375">
        <f>$E41/$E$58*$H$58</f>
        <v>644.67999999999995</v>
      </c>
      <c r="I41" s="375">
        <v>204.16</v>
      </c>
      <c r="J41" s="375">
        <f>I41/$I$58*1000</f>
        <v>0.99</v>
      </c>
      <c r="K41" s="375">
        <f>$E41/$E$58*$K$58</f>
        <v>857.92</v>
      </c>
      <c r="L41" s="395">
        <f t="shared" ref="L41:L47" si="20">K41/$K$58*1000</f>
        <v>4.22</v>
      </c>
      <c r="M41" s="394">
        <f>$E41/$E$58*$M$58</f>
        <v>89.92</v>
      </c>
      <c r="N41" s="375">
        <f>$E41/$E$58*$N$58</f>
        <v>94.89</v>
      </c>
      <c r="O41" s="375">
        <v>27.09</v>
      </c>
      <c r="P41" s="375">
        <f>O41/$O$58*1000</f>
        <v>0.99</v>
      </c>
      <c r="Q41" s="375">
        <f>$E41/$E$58*$Q$58</f>
        <v>111.81</v>
      </c>
      <c r="R41" s="395">
        <f t="shared" ref="R41:R47" si="21">Q41/$Q$58*1000</f>
        <v>4.22</v>
      </c>
      <c r="S41" s="394">
        <f>$E41/$E$58*$S$58</f>
        <v>14.69</v>
      </c>
      <c r="T41" s="375">
        <f>$E41/$E$58*$T$58</f>
        <v>14.58</v>
      </c>
      <c r="U41" s="375">
        <v>8.89</v>
      </c>
      <c r="V41" s="375">
        <f>U41/$U$58*1000</f>
        <v>0.99</v>
      </c>
      <c r="W41" s="375">
        <f>$E41/$E$58*$W$58</f>
        <v>29.14</v>
      </c>
      <c r="X41" s="395">
        <f t="shared" ref="X41:X47" si="22">W41/$W$58*1000</f>
        <v>4.22</v>
      </c>
      <c r="Y41" s="852">
        <f>$E41/$E$58*$Y$58</f>
        <v>0.15</v>
      </c>
      <c r="Z41" s="375">
        <f>$E41/$E$58*$Z$58</f>
        <v>0.17</v>
      </c>
      <c r="AA41" s="375">
        <f>V41</f>
        <v>0.99</v>
      </c>
      <c r="AB41" s="375">
        <f>$E41/$E$58*$AB$58-0.01</f>
        <v>0.25</v>
      </c>
      <c r="AC41" s="395">
        <f>AB41/$AB$58*1000+0.11</f>
        <v>4.22</v>
      </c>
      <c r="AD41" s="849">
        <f t="shared" si="5"/>
        <v>0</v>
      </c>
    </row>
    <row r="42" spans="1:109" s="290" customFormat="1" ht="21.95" customHeight="1">
      <c r="A42" s="944" t="s">
        <v>428</v>
      </c>
      <c r="B42" s="893" t="s">
        <v>45</v>
      </c>
      <c r="C42" s="394">
        <v>131.31</v>
      </c>
      <c r="D42" s="375">
        <v>88.24</v>
      </c>
      <c r="E42" s="815">
        <f>767.88*28.625%</f>
        <v>219.81</v>
      </c>
      <c r="F42" s="395">
        <f t="shared" si="18"/>
        <v>0.93</v>
      </c>
      <c r="G42" s="394">
        <f>$E42/$E$58*$G$58</f>
        <v>121.83</v>
      </c>
      <c r="H42" s="375">
        <f>$E42/$E$58*$H$58</f>
        <v>141.83000000000001</v>
      </c>
      <c r="I42" s="375">
        <v>44.92</v>
      </c>
      <c r="J42" s="375">
        <f>I42/$I$58*1000</f>
        <v>0.22</v>
      </c>
      <c r="K42" s="375">
        <f>$E42/$E$58*$K$58</f>
        <v>188.74</v>
      </c>
      <c r="L42" s="395">
        <f t="shared" si="20"/>
        <v>0.93</v>
      </c>
      <c r="M42" s="394">
        <f>$E42/$E$58*$M$58</f>
        <v>19.78</v>
      </c>
      <c r="N42" s="375">
        <f>$E42/$E$58*$N$58</f>
        <v>20.88</v>
      </c>
      <c r="O42" s="375">
        <v>5.96</v>
      </c>
      <c r="P42" s="375">
        <f>O42/$O$58*1000</f>
        <v>0.22</v>
      </c>
      <c r="Q42" s="375">
        <f>$E42/$E$58*$Q$58</f>
        <v>24.6</v>
      </c>
      <c r="R42" s="395">
        <f t="shared" si="21"/>
        <v>0.93</v>
      </c>
      <c r="S42" s="394">
        <f>$E42/$E$58*$S$58</f>
        <v>3.23</v>
      </c>
      <c r="T42" s="375">
        <f>$E42/$E$58*$T$58</f>
        <v>3.21</v>
      </c>
      <c r="U42" s="375">
        <v>1.96</v>
      </c>
      <c r="V42" s="375">
        <f>U42/$U$58*1000</f>
        <v>0.22</v>
      </c>
      <c r="W42" s="375">
        <f>$E42/$E$58*$W$58</f>
        <v>6.41</v>
      </c>
      <c r="X42" s="395">
        <f t="shared" si="22"/>
        <v>0.93</v>
      </c>
      <c r="Y42" s="852">
        <f>$E42/$E$58*$Y$58</f>
        <v>0.03</v>
      </c>
      <c r="Z42" s="375">
        <f>$E42/$E$58*$Z$58</f>
        <v>0.04</v>
      </c>
      <c r="AA42" s="375">
        <f>V42</f>
        <v>0.22</v>
      </c>
      <c r="AB42" s="375">
        <f>$E42/$E$58*$AB$58</f>
        <v>0.06</v>
      </c>
      <c r="AC42" s="395">
        <f>AB42/$AB$58*1000-0.06</f>
        <v>0.93</v>
      </c>
      <c r="AD42" s="849">
        <f t="shared" si="5"/>
        <v>0</v>
      </c>
    </row>
    <row r="43" spans="1:109" s="290" customFormat="1" ht="21.95" customHeight="1">
      <c r="A43" s="944" t="s">
        <v>61</v>
      </c>
      <c r="B43" s="899" t="s">
        <v>47</v>
      </c>
      <c r="C43" s="394">
        <v>9.49</v>
      </c>
      <c r="D43" s="375">
        <v>9.64</v>
      </c>
      <c r="E43" s="815">
        <v>0</v>
      </c>
      <c r="F43" s="395">
        <f t="shared" si="18"/>
        <v>0</v>
      </c>
      <c r="G43" s="394">
        <f>$E43/$E$58*$G$58</f>
        <v>0</v>
      </c>
      <c r="H43" s="375">
        <f>$E43/$E$58*$H$58</f>
        <v>0</v>
      </c>
      <c r="I43" s="375"/>
      <c r="J43" s="375"/>
      <c r="K43" s="375">
        <f>$E43/$E$58*$K$58</f>
        <v>0</v>
      </c>
      <c r="L43" s="395">
        <f t="shared" si="20"/>
        <v>0</v>
      </c>
      <c r="M43" s="394">
        <f>$E43/$E$58*$M$58</f>
        <v>0</v>
      </c>
      <c r="N43" s="375">
        <f>$E43/$E$58*$N$58</f>
        <v>0</v>
      </c>
      <c r="O43" s="375"/>
      <c r="P43" s="375"/>
      <c r="Q43" s="375">
        <f>$E43/$E$58*$Q$58</f>
        <v>0</v>
      </c>
      <c r="R43" s="395">
        <f t="shared" si="21"/>
        <v>0</v>
      </c>
      <c r="S43" s="394">
        <f>$E43/$E$58*$S$58</f>
        <v>0</v>
      </c>
      <c r="T43" s="375">
        <f>$E43/$E$58*$T$58</f>
        <v>0</v>
      </c>
      <c r="U43" s="375"/>
      <c r="V43" s="375"/>
      <c r="W43" s="375">
        <f>$E43/$E$58*$W$58</f>
        <v>0</v>
      </c>
      <c r="X43" s="395">
        <f t="shared" si="22"/>
        <v>0</v>
      </c>
      <c r="Y43" s="852">
        <f>$E43/$E$58*$Y$58</f>
        <v>0</v>
      </c>
      <c r="Z43" s="375">
        <f>$E43/$E$58*$Z$58</f>
        <v>0</v>
      </c>
      <c r="AA43" s="375"/>
      <c r="AB43" s="375">
        <f>$E43/$E$58*$AB$58</f>
        <v>0</v>
      </c>
      <c r="AC43" s="395">
        <f>AB43/$AB$58*1000</f>
        <v>0</v>
      </c>
      <c r="AD43" s="849">
        <f t="shared" si="5"/>
        <v>0</v>
      </c>
    </row>
    <row r="44" spans="1:109" s="290" customFormat="1" ht="21.95" customHeight="1">
      <c r="A44" s="944" t="s">
        <v>429</v>
      </c>
      <c r="B44" s="897" t="s">
        <v>56</v>
      </c>
      <c r="C44" s="394">
        <v>50.36</v>
      </c>
      <c r="D44" s="375">
        <v>82.01</v>
      </c>
      <c r="E44" s="815">
        <v>0</v>
      </c>
      <c r="F44" s="395">
        <f t="shared" si="18"/>
        <v>0</v>
      </c>
      <c r="G44" s="394">
        <f>$E44/$E$58*$G$58</f>
        <v>0</v>
      </c>
      <c r="H44" s="375">
        <f>$E44/$E$58*$H$58</f>
        <v>0</v>
      </c>
      <c r="I44" s="375">
        <v>31.4</v>
      </c>
      <c r="J44" s="375">
        <f>I44/$I$58*1000</f>
        <v>0.15</v>
      </c>
      <c r="K44" s="375">
        <f>$E44/$E$58*$K$58</f>
        <v>0</v>
      </c>
      <c r="L44" s="395">
        <f t="shared" si="20"/>
        <v>0</v>
      </c>
      <c r="M44" s="394">
        <f>$E44/$E$58*$M$58</f>
        <v>0</v>
      </c>
      <c r="N44" s="375">
        <f>$E44/$E$58*$N$58</f>
        <v>0</v>
      </c>
      <c r="O44" s="375">
        <v>4.17</v>
      </c>
      <c r="P44" s="375">
        <f>O44/$O$58*1000</f>
        <v>0.15</v>
      </c>
      <c r="Q44" s="375">
        <f>$E44/$E$58*$Q$58</f>
        <v>0</v>
      </c>
      <c r="R44" s="395">
        <f t="shared" si="21"/>
        <v>0</v>
      </c>
      <c r="S44" s="394">
        <f>$E44/$E$58*$S$58</f>
        <v>0</v>
      </c>
      <c r="T44" s="375">
        <f>$E44/$E$58*$T$58</f>
        <v>0</v>
      </c>
      <c r="U44" s="375">
        <v>1.37</v>
      </c>
      <c r="V44" s="375">
        <f>U44/$U$58*1000</f>
        <v>0.15</v>
      </c>
      <c r="W44" s="375">
        <f>$E44/$E$58*$W$58</f>
        <v>0</v>
      </c>
      <c r="X44" s="393">
        <f t="shared" si="22"/>
        <v>0</v>
      </c>
      <c r="Y44" s="852">
        <f>$E44/$E$58*$Y$58</f>
        <v>0</v>
      </c>
      <c r="Z44" s="375">
        <f>$E44/$E$58*$Z$58</f>
        <v>0</v>
      </c>
      <c r="AA44" s="375">
        <f>V44</f>
        <v>0.15</v>
      </c>
      <c r="AB44" s="375">
        <f>$E44/$E$58*$AB$58</f>
        <v>0</v>
      </c>
      <c r="AC44" s="395">
        <f>AB44/$AB$58*1000</f>
        <v>0</v>
      </c>
      <c r="AD44" s="849">
        <f t="shared" si="5"/>
        <v>0</v>
      </c>
    </row>
    <row r="45" spans="1:109" s="290" customFormat="1" ht="21.95" customHeight="1">
      <c r="A45" s="1017">
        <v>3</v>
      </c>
      <c r="B45" s="891" t="s">
        <v>202</v>
      </c>
      <c r="C45" s="392">
        <f>'Додаток3 скор'!D37</f>
        <v>0</v>
      </c>
      <c r="D45" s="582">
        <f>'Додаток3 скор'!E37</f>
        <v>0</v>
      </c>
      <c r="E45" s="790">
        <f t="shared" ref="E45:E56" si="23">K45+Q45+W45+AB45</f>
        <v>0</v>
      </c>
      <c r="F45" s="393">
        <f t="shared" si="18"/>
        <v>0</v>
      </c>
      <c r="G45" s="392">
        <f>'Додаток3 скор'!H37</f>
        <v>0</v>
      </c>
      <c r="H45" s="582">
        <f>'Додаток3 скор'!I37</f>
        <v>0</v>
      </c>
      <c r="I45" s="582">
        <f>'Додаток3 скор'!J37</f>
        <v>0</v>
      </c>
      <c r="J45" s="582">
        <f>I45/$I$58*1000</f>
        <v>0</v>
      </c>
      <c r="K45" s="582">
        <v>0</v>
      </c>
      <c r="L45" s="393">
        <f t="shared" si="20"/>
        <v>0</v>
      </c>
      <c r="M45" s="392">
        <v>0</v>
      </c>
      <c r="N45" s="582">
        <v>0</v>
      </c>
      <c r="O45" s="582">
        <v>0</v>
      </c>
      <c r="P45" s="582">
        <f>O45/$O$58*1000</f>
        <v>0</v>
      </c>
      <c r="Q45" s="582">
        <v>0</v>
      </c>
      <c r="R45" s="393">
        <f t="shared" si="21"/>
        <v>0</v>
      </c>
      <c r="S45" s="392">
        <f>'Додаток3 скор'!R37</f>
        <v>0</v>
      </c>
      <c r="T45" s="582">
        <f>'Додаток3 скор'!S37</f>
        <v>0</v>
      </c>
      <c r="U45" s="582">
        <f>'Додаток3 скор'!T37</f>
        <v>0</v>
      </c>
      <c r="V45" s="582">
        <f>U45/$U$58*1000</f>
        <v>0</v>
      </c>
      <c r="W45" s="582">
        <v>0</v>
      </c>
      <c r="X45" s="393">
        <f t="shared" si="22"/>
        <v>0</v>
      </c>
      <c r="Y45" s="648">
        <v>0</v>
      </c>
      <c r="Z45" s="582">
        <v>0</v>
      </c>
      <c r="AA45" s="582">
        <v>0</v>
      </c>
      <c r="AB45" s="582">
        <v>0</v>
      </c>
      <c r="AC45" s="393">
        <f>AB45/$AB$58*1000</f>
        <v>0</v>
      </c>
      <c r="AD45" s="849">
        <f t="shared" si="5"/>
        <v>0</v>
      </c>
    </row>
    <row r="46" spans="1:109" s="285" customFormat="1" ht="21.95" customHeight="1">
      <c r="A46" s="1017" t="s">
        <v>372</v>
      </c>
      <c r="B46" s="891" t="s">
        <v>103</v>
      </c>
      <c r="C46" s="392">
        <v>0</v>
      </c>
      <c r="D46" s="582">
        <v>0</v>
      </c>
      <c r="E46" s="790">
        <f t="shared" si="23"/>
        <v>0</v>
      </c>
      <c r="F46" s="393">
        <f t="shared" si="18"/>
        <v>0</v>
      </c>
      <c r="G46" s="392">
        <v>0</v>
      </c>
      <c r="H46" s="582">
        <v>0</v>
      </c>
      <c r="I46" s="582">
        <v>0</v>
      </c>
      <c r="J46" s="582">
        <f>I46/$I$58*1000</f>
        <v>0</v>
      </c>
      <c r="K46" s="582">
        <v>0</v>
      </c>
      <c r="L46" s="393">
        <f t="shared" si="20"/>
        <v>0</v>
      </c>
      <c r="M46" s="392">
        <v>0</v>
      </c>
      <c r="N46" s="582">
        <v>0</v>
      </c>
      <c r="O46" s="582">
        <v>0</v>
      </c>
      <c r="P46" s="582">
        <f>O46/$O$58*1000</f>
        <v>0</v>
      </c>
      <c r="Q46" s="582">
        <v>0</v>
      </c>
      <c r="R46" s="393">
        <f t="shared" si="21"/>
        <v>0</v>
      </c>
      <c r="S46" s="392">
        <v>0</v>
      </c>
      <c r="T46" s="582">
        <v>0</v>
      </c>
      <c r="U46" s="582">
        <v>0</v>
      </c>
      <c r="V46" s="582">
        <f>U46/$U$58*1000</f>
        <v>0</v>
      </c>
      <c r="W46" s="582">
        <v>0</v>
      </c>
      <c r="X46" s="393">
        <f t="shared" si="22"/>
        <v>0</v>
      </c>
      <c r="Y46" s="648">
        <v>0</v>
      </c>
      <c r="Z46" s="582">
        <v>0</v>
      </c>
      <c r="AA46" s="582">
        <v>0</v>
      </c>
      <c r="AB46" s="582">
        <v>0</v>
      </c>
      <c r="AC46" s="393">
        <f>AB46/$AB$58*1000</f>
        <v>0</v>
      </c>
      <c r="AD46" s="849">
        <f t="shared" si="5"/>
        <v>0</v>
      </c>
    </row>
    <row r="47" spans="1:109" s="285" customFormat="1" ht="21.95" customHeight="1">
      <c r="A47" s="1017" t="s">
        <v>374</v>
      </c>
      <c r="B47" s="891" t="s">
        <v>65</v>
      </c>
      <c r="C47" s="392">
        <v>0</v>
      </c>
      <c r="D47" s="582">
        <v>0</v>
      </c>
      <c r="E47" s="790">
        <f t="shared" si="23"/>
        <v>0</v>
      </c>
      <c r="F47" s="393">
        <f t="shared" si="18"/>
        <v>0</v>
      </c>
      <c r="G47" s="392">
        <v>0</v>
      </c>
      <c r="H47" s="582">
        <v>0</v>
      </c>
      <c r="I47" s="582">
        <v>0</v>
      </c>
      <c r="J47" s="582">
        <f>I47/$I$58*1000</f>
        <v>0</v>
      </c>
      <c r="K47" s="582">
        <v>0</v>
      </c>
      <c r="L47" s="393">
        <f t="shared" si="20"/>
        <v>0</v>
      </c>
      <c r="M47" s="392">
        <v>0</v>
      </c>
      <c r="N47" s="582">
        <v>0</v>
      </c>
      <c r="O47" s="582">
        <v>0</v>
      </c>
      <c r="P47" s="582">
        <f>O47/$O$58*1000</f>
        <v>0</v>
      </c>
      <c r="Q47" s="582">
        <v>0</v>
      </c>
      <c r="R47" s="393">
        <f t="shared" si="21"/>
        <v>0</v>
      </c>
      <c r="S47" s="392">
        <v>0</v>
      </c>
      <c r="T47" s="582">
        <v>0</v>
      </c>
      <c r="U47" s="582">
        <v>0</v>
      </c>
      <c r="V47" s="582">
        <f>U47/$U$58*1000</f>
        <v>0</v>
      </c>
      <c r="W47" s="582">
        <v>0</v>
      </c>
      <c r="X47" s="393">
        <f t="shared" si="22"/>
        <v>0</v>
      </c>
      <c r="Y47" s="648">
        <v>0</v>
      </c>
      <c r="Z47" s="582">
        <v>0</v>
      </c>
      <c r="AA47" s="582">
        <v>0</v>
      </c>
      <c r="AB47" s="582">
        <v>0</v>
      </c>
      <c r="AC47" s="393">
        <f>AB47/$AB$58*1000</f>
        <v>0</v>
      </c>
      <c r="AD47" s="849">
        <f t="shared" si="5"/>
        <v>0</v>
      </c>
    </row>
    <row r="48" spans="1:109" s="290" customFormat="1" ht="21.95" customHeight="1">
      <c r="A48" s="1017" t="s">
        <v>375</v>
      </c>
      <c r="B48" s="891" t="s">
        <v>101</v>
      </c>
      <c r="C48" s="392">
        <f>C8+C35</f>
        <v>11481.43</v>
      </c>
      <c r="D48" s="392">
        <f>D8+D35</f>
        <v>12334.34</v>
      </c>
      <c r="E48" s="392">
        <f t="shared" ref="E48:AC48" si="24">E8+E35</f>
        <v>12956.27</v>
      </c>
      <c r="F48" s="977">
        <f t="shared" si="24"/>
        <v>54.7</v>
      </c>
      <c r="G48" s="392">
        <f t="shared" si="24"/>
        <v>7181.02</v>
      </c>
      <c r="H48" s="582">
        <f t="shared" si="24"/>
        <v>8359.9500000000007</v>
      </c>
      <c r="I48" s="582">
        <f t="shared" si="24"/>
        <v>9823.5300000000007</v>
      </c>
      <c r="J48" s="582">
        <f>J8+J35</f>
        <v>47.85</v>
      </c>
      <c r="K48" s="582">
        <f t="shared" si="24"/>
        <v>11125.18</v>
      </c>
      <c r="L48" s="393">
        <f t="shared" si="24"/>
        <v>54.7</v>
      </c>
      <c r="M48" s="392">
        <f t="shared" si="24"/>
        <v>1166.02</v>
      </c>
      <c r="N48" s="392">
        <f t="shared" si="24"/>
        <v>1230.57</v>
      </c>
      <c r="O48" s="789">
        <f t="shared" si="24"/>
        <v>1315.13</v>
      </c>
      <c r="P48" s="582">
        <f t="shared" si="24"/>
        <v>48.27</v>
      </c>
      <c r="Q48" s="582">
        <f t="shared" si="24"/>
        <v>1449.86</v>
      </c>
      <c r="R48" s="977">
        <f t="shared" si="24"/>
        <v>54.7</v>
      </c>
      <c r="S48" s="392">
        <f t="shared" si="24"/>
        <v>190.46</v>
      </c>
      <c r="T48" s="582">
        <f t="shared" si="24"/>
        <v>189.07</v>
      </c>
      <c r="U48" s="582">
        <f t="shared" si="24"/>
        <v>431.5</v>
      </c>
      <c r="V48" s="582">
        <f>V8+V35-0.01</f>
        <v>48.27</v>
      </c>
      <c r="W48" s="582">
        <f t="shared" si="24"/>
        <v>377.9</v>
      </c>
      <c r="X48" s="393">
        <f t="shared" si="24"/>
        <v>54.7</v>
      </c>
      <c r="Y48" s="648">
        <f t="shared" si="24"/>
        <v>1.95</v>
      </c>
      <c r="Z48" s="582">
        <f t="shared" si="24"/>
        <v>2.2200000000000002</v>
      </c>
      <c r="AA48" s="582">
        <f t="shared" si="24"/>
        <v>48.27</v>
      </c>
      <c r="AB48" s="582">
        <f t="shared" si="24"/>
        <v>3.33</v>
      </c>
      <c r="AC48" s="393">
        <f t="shared" si="24"/>
        <v>54.7</v>
      </c>
      <c r="AD48" s="849">
        <f t="shared" si="5"/>
        <v>0</v>
      </c>
    </row>
    <row r="49" spans="1:30" s="290" customFormat="1" ht="21.95" customHeight="1">
      <c r="A49" s="1017" t="s">
        <v>376</v>
      </c>
      <c r="B49" s="891" t="s">
        <v>373</v>
      </c>
      <c r="C49" s="392">
        <v>0</v>
      </c>
      <c r="D49" s="582">
        <v>0</v>
      </c>
      <c r="E49" s="790">
        <f t="shared" si="23"/>
        <v>0</v>
      </c>
      <c r="F49" s="393">
        <f>E49/$E$58*1000</f>
        <v>0</v>
      </c>
      <c r="G49" s="392">
        <v>0</v>
      </c>
      <c r="H49" s="582">
        <v>0</v>
      </c>
      <c r="I49" s="582">
        <v>0</v>
      </c>
      <c r="J49" s="582">
        <f t="shared" ref="J49:J55" si="25">I49/$I$58*1000</f>
        <v>0</v>
      </c>
      <c r="K49" s="582">
        <f>I49</f>
        <v>0</v>
      </c>
      <c r="L49" s="393">
        <f t="shared" ref="L49:L55" si="26">K49/$K$58*1000</f>
        <v>0</v>
      </c>
      <c r="M49" s="392">
        <v>0</v>
      </c>
      <c r="N49" s="582">
        <v>0</v>
      </c>
      <c r="O49" s="582">
        <v>0</v>
      </c>
      <c r="P49" s="582">
        <v>0</v>
      </c>
      <c r="Q49" s="582">
        <v>0</v>
      </c>
      <c r="R49" s="393">
        <f t="shared" ref="R49:R55" si="27">Q49/$Q$58*1000</f>
        <v>0</v>
      </c>
      <c r="S49" s="392">
        <v>0</v>
      </c>
      <c r="T49" s="582">
        <v>0</v>
      </c>
      <c r="U49" s="582">
        <v>0</v>
      </c>
      <c r="V49" s="582">
        <v>0</v>
      </c>
      <c r="W49" s="582">
        <v>0</v>
      </c>
      <c r="X49" s="393">
        <f t="shared" ref="X49:X55" si="28">W49/$W$58*1000</f>
        <v>0</v>
      </c>
      <c r="Y49" s="648">
        <v>0</v>
      </c>
      <c r="Z49" s="582">
        <v>0</v>
      </c>
      <c r="AA49" s="582">
        <v>0</v>
      </c>
      <c r="AB49" s="582">
        <v>0</v>
      </c>
      <c r="AC49" s="395">
        <f t="shared" ref="AC49:AC55" si="29">AB49/$AB$58*1000</f>
        <v>0</v>
      </c>
      <c r="AD49" s="849">
        <f t="shared" si="5"/>
        <v>0</v>
      </c>
    </row>
    <row r="50" spans="1:30" s="290" customFormat="1" ht="21.95" customHeight="1">
      <c r="A50" s="1017">
        <v>7</v>
      </c>
      <c r="B50" s="891" t="s">
        <v>142</v>
      </c>
      <c r="C50" s="392">
        <f>SUM(C51:C55)</f>
        <v>0</v>
      </c>
      <c r="D50" s="582">
        <f>SUM(D51:D55)</f>
        <v>0</v>
      </c>
      <c r="E50" s="790">
        <f t="shared" si="23"/>
        <v>0</v>
      </c>
      <c r="F50" s="393">
        <f t="shared" ref="F50:F55" si="30">E50/$E$58*1000</f>
        <v>0</v>
      </c>
      <c r="G50" s="392">
        <f>SUM(G51:G55)</f>
        <v>0</v>
      </c>
      <c r="H50" s="582">
        <f>SUM(H51:H55)</f>
        <v>0</v>
      </c>
      <c r="I50" s="582">
        <f>SUM(I51:I55)</f>
        <v>0</v>
      </c>
      <c r="J50" s="582">
        <f t="shared" si="25"/>
        <v>0</v>
      </c>
      <c r="K50" s="582">
        <f t="shared" ref="K50:W50" si="31">SUM(K51:K55)</f>
        <v>0</v>
      </c>
      <c r="L50" s="393">
        <f t="shared" si="26"/>
        <v>0</v>
      </c>
      <c r="M50" s="392">
        <f>SUM(M51:M55)</f>
        <v>0</v>
      </c>
      <c r="N50" s="582">
        <f>SUM(N51:N55)</f>
        <v>0</v>
      </c>
      <c r="O50" s="582">
        <f t="shared" si="31"/>
        <v>0</v>
      </c>
      <c r="P50" s="582">
        <f t="shared" si="31"/>
        <v>0</v>
      </c>
      <c r="Q50" s="582">
        <f t="shared" si="31"/>
        <v>0</v>
      </c>
      <c r="R50" s="393">
        <f t="shared" si="27"/>
        <v>0</v>
      </c>
      <c r="S50" s="392">
        <f t="shared" si="31"/>
        <v>0</v>
      </c>
      <c r="T50" s="582">
        <f t="shared" si="31"/>
        <v>0</v>
      </c>
      <c r="U50" s="582">
        <f t="shared" si="31"/>
        <v>0</v>
      </c>
      <c r="V50" s="582">
        <f t="shared" si="31"/>
        <v>0</v>
      </c>
      <c r="W50" s="582">
        <f t="shared" si="31"/>
        <v>0</v>
      </c>
      <c r="X50" s="393">
        <f t="shared" si="28"/>
        <v>0</v>
      </c>
      <c r="Y50" s="648">
        <v>0</v>
      </c>
      <c r="Z50" s="582">
        <v>0</v>
      </c>
      <c r="AA50" s="582">
        <v>0</v>
      </c>
      <c r="AB50" s="582">
        <v>0</v>
      </c>
      <c r="AC50" s="395">
        <f t="shared" si="29"/>
        <v>0</v>
      </c>
      <c r="AD50" s="849">
        <f t="shared" si="5"/>
        <v>0</v>
      </c>
    </row>
    <row r="51" spans="1:30" s="290" customFormat="1" ht="20.25" customHeight="1">
      <c r="A51" s="944" t="s">
        <v>66</v>
      </c>
      <c r="B51" s="897" t="s">
        <v>67</v>
      </c>
      <c r="C51" s="394">
        <v>0</v>
      </c>
      <c r="D51" s="375">
        <v>0</v>
      </c>
      <c r="E51" s="815">
        <f t="shared" si="23"/>
        <v>0</v>
      </c>
      <c r="F51" s="395">
        <f t="shared" si="30"/>
        <v>0</v>
      </c>
      <c r="G51" s="394">
        <v>0</v>
      </c>
      <c r="H51" s="375">
        <v>0</v>
      </c>
      <c r="I51" s="375">
        <v>0</v>
      </c>
      <c r="J51" s="375">
        <f t="shared" si="25"/>
        <v>0</v>
      </c>
      <c r="K51" s="375">
        <v>0</v>
      </c>
      <c r="L51" s="395">
        <f t="shared" si="26"/>
        <v>0</v>
      </c>
      <c r="M51" s="394">
        <v>0</v>
      </c>
      <c r="N51" s="375">
        <v>0</v>
      </c>
      <c r="O51" s="375">
        <v>0</v>
      </c>
      <c r="P51" s="375">
        <f>O51/$O$58*1000</f>
        <v>0</v>
      </c>
      <c r="Q51" s="375">
        <v>0</v>
      </c>
      <c r="R51" s="395">
        <f t="shared" si="27"/>
        <v>0</v>
      </c>
      <c r="S51" s="394">
        <v>0</v>
      </c>
      <c r="T51" s="375">
        <v>0</v>
      </c>
      <c r="U51" s="375">
        <v>0</v>
      </c>
      <c r="V51" s="375">
        <f>U51/$U$58*1000</f>
        <v>0</v>
      </c>
      <c r="W51" s="375">
        <v>0</v>
      </c>
      <c r="X51" s="395">
        <f t="shared" si="28"/>
        <v>0</v>
      </c>
      <c r="Y51" s="852">
        <v>0</v>
      </c>
      <c r="Z51" s="375">
        <v>0</v>
      </c>
      <c r="AA51" s="375">
        <v>0</v>
      </c>
      <c r="AB51" s="375">
        <v>0</v>
      </c>
      <c r="AC51" s="395">
        <f t="shared" si="29"/>
        <v>0</v>
      </c>
      <c r="AD51" s="849">
        <f t="shared" si="5"/>
        <v>0</v>
      </c>
    </row>
    <row r="52" spans="1:30" s="291" customFormat="1" ht="18" customHeight="1">
      <c r="A52" s="944" t="s">
        <v>68</v>
      </c>
      <c r="B52" s="897" t="s">
        <v>69</v>
      </c>
      <c r="C52" s="394">
        <f>'Додаток3 скор'!D44</f>
        <v>0</v>
      </c>
      <c r="D52" s="375">
        <f>'Додаток3 скор'!E44</f>
        <v>0</v>
      </c>
      <c r="E52" s="815">
        <f t="shared" si="23"/>
        <v>0</v>
      </c>
      <c r="F52" s="395">
        <f t="shared" si="30"/>
        <v>0</v>
      </c>
      <c r="G52" s="394">
        <f>'Додаток3 скор'!H44</f>
        <v>0</v>
      </c>
      <c r="H52" s="375">
        <f>'Додаток3 скор'!I44</f>
        <v>0</v>
      </c>
      <c r="I52" s="375">
        <f>'Додаток3 скор'!J44</f>
        <v>0</v>
      </c>
      <c r="J52" s="375">
        <f t="shared" si="25"/>
        <v>0</v>
      </c>
      <c r="K52" s="375">
        <v>0</v>
      </c>
      <c r="L52" s="395">
        <f t="shared" si="26"/>
        <v>0</v>
      </c>
      <c r="M52" s="394">
        <v>0</v>
      </c>
      <c r="N52" s="375">
        <v>0</v>
      </c>
      <c r="O52" s="375">
        <f>'Додаток3 скор'!N44</f>
        <v>0</v>
      </c>
      <c r="P52" s="375">
        <f>O52/$O$58*1000</f>
        <v>0</v>
      </c>
      <c r="Q52" s="375">
        <v>0</v>
      </c>
      <c r="R52" s="395">
        <f t="shared" si="27"/>
        <v>0</v>
      </c>
      <c r="S52" s="394">
        <v>0</v>
      </c>
      <c r="T52" s="375">
        <v>0</v>
      </c>
      <c r="U52" s="375">
        <f>'Додаток3 скор'!R44</f>
        <v>0</v>
      </c>
      <c r="V52" s="375">
        <f>U52/$U$58*1000</f>
        <v>0</v>
      </c>
      <c r="W52" s="375">
        <v>0</v>
      </c>
      <c r="X52" s="395">
        <f t="shared" si="28"/>
        <v>0</v>
      </c>
      <c r="Y52" s="852">
        <v>0</v>
      </c>
      <c r="Z52" s="375">
        <v>0</v>
      </c>
      <c r="AA52" s="375">
        <f>V52</f>
        <v>0</v>
      </c>
      <c r="AB52" s="375">
        <v>0</v>
      </c>
      <c r="AC52" s="395">
        <f t="shared" si="29"/>
        <v>0</v>
      </c>
      <c r="AD52" s="849">
        <f t="shared" si="5"/>
        <v>0</v>
      </c>
    </row>
    <row r="53" spans="1:30" s="290" customFormat="1" ht="18" customHeight="1">
      <c r="A53" s="944" t="s">
        <v>68</v>
      </c>
      <c r="B53" s="897" t="str">
        <f>'Додаток2 скор'!B56</f>
        <v xml:space="preserve">резервний фонд (капітал) та дивіденди </v>
      </c>
      <c r="C53" s="394">
        <f>'Додаток3 скор'!D45</f>
        <v>0</v>
      </c>
      <c r="D53" s="375">
        <f>'Додаток3 скор'!E45</f>
        <v>0</v>
      </c>
      <c r="E53" s="815">
        <f t="shared" si="23"/>
        <v>0</v>
      </c>
      <c r="F53" s="395">
        <f t="shared" si="30"/>
        <v>0</v>
      </c>
      <c r="G53" s="394">
        <f>'Додаток3 скор'!H45</f>
        <v>0</v>
      </c>
      <c r="H53" s="375">
        <f>'Додаток3 скор'!I45</f>
        <v>0</v>
      </c>
      <c r="I53" s="375">
        <f>'Додаток3 скор'!J45</f>
        <v>0</v>
      </c>
      <c r="J53" s="375">
        <f t="shared" si="25"/>
        <v>0</v>
      </c>
      <c r="K53" s="375">
        <v>0</v>
      </c>
      <c r="L53" s="395">
        <f t="shared" si="26"/>
        <v>0</v>
      </c>
      <c r="M53" s="394">
        <v>0</v>
      </c>
      <c r="N53" s="375">
        <v>0</v>
      </c>
      <c r="O53" s="375">
        <f>'Додаток3 скор'!N45</f>
        <v>0</v>
      </c>
      <c r="P53" s="375">
        <f>O53/$O$58*1000</f>
        <v>0</v>
      </c>
      <c r="Q53" s="375">
        <v>0</v>
      </c>
      <c r="R53" s="395">
        <f t="shared" si="27"/>
        <v>0</v>
      </c>
      <c r="S53" s="394">
        <v>0</v>
      </c>
      <c r="T53" s="375">
        <v>0</v>
      </c>
      <c r="U53" s="375">
        <f>'Додаток3 скор'!R45</f>
        <v>0</v>
      </c>
      <c r="V53" s="375">
        <f>U53/$U$58*1000</f>
        <v>0</v>
      </c>
      <c r="W53" s="375">
        <v>0</v>
      </c>
      <c r="X53" s="395">
        <f t="shared" si="28"/>
        <v>0</v>
      </c>
      <c r="Y53" s="852">
        <v>0</v>
      </c>
      <c r="Z53" s="375">
        <v>0</v>
      </c>
      <c r="AA53" s="375">
        <f>V53</f>
        <v>0</v>
      </c>
      <c r="AB53" s="375">
        <v>0</v>
      </c>
      <c r="AC53" s="395">
        <f t="shared" si="29"/>
        <v>0</v>
      </c>
      <c r="AD53" s="849">
        <f t="shared" si="5"/>
        <v>0</v>
      </c>
    </row>
    <row r="54" spans="1:30" s="290" customFormat="1" ht="35.25" customHeight="1">
      <c r="A54" s="944" t="s">
        <v>70</v>
      </c>
      <c r="B54" s="897" t="s">
        <v>72</v>
      </c>
      <c r="C54" s="394">
        <v>0</v>
      </c>
      <c r="D54" s="375">
        <v>0</v>
      </c>
      <c r="E54" s="815">
        <f t="shared" si="23"/>
        <v>0</v>
      </c>
      <c r="F54" s="395">
        <f t="shared" si="30"/>
        <v>0</v>
      </c>
      <c r="G54" s="394">
        <v>0</v>
      </c>
      <c r="H54" s="375">
        <v>0</v>
      </c>
      <c r="I54" s="375">
        <v>0</v>
      </c>
      <c r="J54" s="375">
        <f t="shared" si="25"/>
        <v>0</v>
      </c>
      <c r="K54" s="375">
        <v>0</v>
      </c>
      <c r="L54" s="395">
        <f t="shared" si="26"/>
        <v>0</v>
      </c>
      <c r="M54" s="394">
        <v>0</v>
      </c>
      <c r="N54" s="375">
        <v>0</v>
      </c>
      <c r="O54" s="375">
        <v>0</v>
      </c>
      <c r="P54" s="375">
        <f>O54/$O$58*1000</f>
        <v>0</v>
      </c>
      <c r="Q54" s="375">
        <v>0</v>
      </c>
      <c r="R54" s="395">
        <f t="shared" si="27"/>
        <v>0</v>
      </c>
      <c r="S54" s="394">
        <v>0</v>
      </c>
      <c r="T54" s="375">
        <v>0</v>
      </c>
      <c r="U54" s="375">
        <v>0</v>
      </c>
      <c r="V54" s="375">
        <f>U54/$U$58*1000</f>
        <v>0</v>
      </c>
      <c r="W54" s="375">
        <v>0</v>
      </c>
      <c r="X54" s="395">
        <f t="shared" si="28"/>
        <v>0</v>
      </c>
      <c r="Y54" s="852">
        <v>0</v>
      </c>
      <c r="Z54" s="375">
        <v>0</v>
      </c>
      <c r="AA54" s="375">
        <v>0</v>
      </c>
      <c r="AB54" s="375">
        <v>0</v>
      </c>
      <c r="AC54" s="395">
        <f t="shared" si="29"/>
        <v>0</v>
      </c>
      <c r="AD54" s="849">
        <f t="shared" si="5"/>
        <v>0</v>
      </c>
    </row>
    <row r="55" spans="1:30" s="673" customFormat="1" ht="18" customHeight="1">
      <c r="A55" s="944" t="s">
        <v>71</v>
      </c>
      <c r="B55" s="897" t="s">
        <v>73</v>
      </c>
      <c r="C55" s="394">
        <v>0</v>
      </c>
      <c r="D55" s="375">
        <v>0</v>
      </c>
      <c r="E55" s="815">
        <f t="shared" si="23"/>
        <v>0</v>
      </c>
      <c r="F55" s="395">
        <f t="shared" si="30"/>
        <v>0</v>
      </c>
      <c r="G55" s="394">
        <v>0</v>
      </c>
      <c r="H55" s="375">
        <v>0</v>
      </c>
      <c r="I55" s="375">
        <v>0</v>
      </c>
      <c r="J55" s="375">
        <f t="shared" si="25"/>
        <v>0</v>
      </c>
      <c r="K55" s="375">
        <v>0</v>
      </c>
      <c r="L55" s="395">
        <f t="shared" si="26"/>
        <v>0</v>
      </c>
      <c r="M55" s="394">
        <v>0</v>
      </c>
      <c r="N55" s="375">
        <v>0</v>
      </c>
      <c r="O55" s="375">
        <v>0</v>
      </c>
      <c r="P55" s="375">
        <f>O55/$O$58*1000</f>
        <v>0</v>
      </c>
      <c r="Q55" s="375">
        <v>0</v>
      </c>
      <c r="R55" s="395">
        <f t="shared" si="27"/>
        <v>0</v>
      </c>
      <c r="S55" s="394">
        <v>0</v>
      </c>
      <c r="T55" s="375">
        <v>0</v>
      </c>
      <c r="U55" s="375">
        <v>0</v>
      </c>
      <c r="V55" s="375">
        <f>U55/$U$58*1000</f>
        <v>0</v>
      </c>
      <c r="W55" s="375">
        <v>0</v>
      </c>
      <c r="X55" s="395">
        <f t="shared" si="28"/>
        <v>0</v>
      </c>
      <c r="Y55" s="852">
        <v>0</v>
      </c>
      <c r="Z55" s="375">
        <v>0</v>
      </c>
      <c r="AA55" s="375">
        <v>0</v>
      </c>
      <c r="AB55" s="375">
        <v>0</v>
      </c>
      <c r="AC55" s="395">
        <f t="shared" si="29"/>
        <v>0</v>
      </c>
      <c r="AD55" s="849">
        <f t="shared" si="5"/>
        <v>0</v>
      </c>
    </row>
    <row r="56" spans="1:30" s="290" customFormat="1" ht="33.75" customHeight="1">
      <c r="A56" s="944">
        <v>8</v>
      </c>
      <c r="B56" s="897" t="s">
        <v>80</v>
      </c>
      <c r="C56" s="394">
        <f>C48+C49+C50</f>
        <v>11481.43</v>
      </c>
      <c r="D56" s="375">
        <f>D48+D49+D50</f>
        <v>12334.34</v>
      </c>
      <c r="E56" s="815">
        <f t="shared" si="23"/>
        <v>12956.27</v>
      </c>
      <c r="F56" s="395">
        <f>F48+F49+F50</f>
        <v>54.7</v>
      </c>
      <c r="G56" s="394">
        <f>G48+G49+G50</f>
        <v>7181.02</v>
      </c>
      <c r="H56" s="375">
        <f>H48+H49+H50</f>
        <v>8359.9500000000007</v>
      </c>
      <c r="I56" s="375">
        <f>I48+I49+I50</f>
        <v>9823.5300000000007</v>
      </c>
      <c r="J56" s="375">
        <f t="shared" ref="J56:AC56" si="32">J48+J49+J50</f>
        <v>47.85</v>
      </c>
      <c r="K56" s="375">
        <f t="shared" si="32"/>
        <v>11125.18</v>
      </c>
      <c r="L56" s="395">
        <f t="shared" si="32"/>
        <v>54.7</v>
      </c>
      <c r="M56" s="394">
        <f t="shared" si="32"/>
        <v>1166.02</v>
      </c>
      <c r="N56" s="375">
        <f t="shared" si="32"/>
        <v>1230.57</v>
      </c>
      <c r="O56" s="375">
        <f t="shared" si="32"/>
        <v>1315.13</v>
      </c>
      <c r="P56" s="375">
        <f t="shared" si="32"/>
        <v>48.27</v>
      </c>
      <c r="Q56" s="375">
        <f t="shared" si="32"/>
        <v>1449.86</v>
      </c>
      <c r="R56" s="395">
        <f t="shared" si="32"/>
        <v>54.7</v>
      </c>
      <c r="S56" s="394">
        <f t="shared" si="32"/>
        <v>190.46</v>
      </c>
      <c r="T56" s="375">
        <f t="shared" si="32"/>
        <v>189.07</v>
      </c>
      <c r="U56" s="375">
        <f t="shared" si="32"/>
        <v>431.5</v>
      </c>
      <c r="V56" s="375">
        <f t="shared" si="32"/>
        <v>48.27</v>
      </c>
      <c r="W56" s="375">
        <f t="shared" si="32"/>
        <v>377.9</v>
      </c>
      <c r="X56" s="395">
        <f t="shared" si="32"/>
        <v>54.7</v>
      </c>
      <c r="Y56" s="852">
        <f t="shared" si="32"/>
        <v>1.95</v>
      </c>
      <c r="Z56" s="375">
        <f t="shared" si="32"/>
        <v>2.2200000000000002</v>
      </c>
      <c r="AA56" s="375">
        <f t="shared" si="32"/>
        <v>48.27</v>
      </c>
      <c r="AB56" s="375">
        <f t="shared" si="32"/>
        <v>3.33</v>
      </c>
      <c r="AC56" s="375">
        <f t="shared" si="32"/>
        <v>54.7</v>
      </c>
      <c r="AD56" s="849">
        <f t="shared" si="5"/>
        <v>0</v>
      </c>
    </row>
    <row r="57" spans="1:30" s="285" customFormat="1" ht="42" customHeight="1">
      <c r="A57" s="1017" t="s">
        <v>106</v>
      </c>
      <c r="B57" s="891" t="s">
        <v>116</v>
      </c>
      <c r="C57" s="768"/>
      <c r="D57" s="754"/>
      <c r="E57" s="582"/>
      <c r="F57" s="393">
        <f>F56</f>
        <v>54.7</v>
      </c>
      <c r="G57" s="392"/>
      <c r="H57" s="582"/>
      <c r="I57" s="582"/>
      <c r="J57" s="582">
        <f>J56</f>
        <v>47.85</v>
      </c>
      <c r="K57" s="582"/>
      <c r="L57" s="393">
        <f>L56</f>
        <v>54.7</v>
      </c>
      <c r="M57" s="392"/>
      <c r="N57" s="582"/>
      <c r="O57" s="582"/>
      <c r="P57" s="582">
        <f>P56</f>
        <v>48.27</v>
      </c>
      <c r="Q57" s="582"/>
      <c r="R57" s="393">
        <f>R56</f>
        <v>54.7</v>
      </c>
      <c r="S57" s="392"/>
      <c r="T57" s="582"/>
      <c r="U57" s="582"/>
      <c r="V57" s="582">
        <f>V56</f>
        <v>48.27</v>
      </c>
      <c r="W57" s="582"/>
      <c r="X57" s="393">
        <f>X56</f>
        <v>54.7</v>
      </c>
      <c r="Y57" s="648"/>
      <c r="Z57" s="582"/>
      <c r="AA57" s="582">
        <f>AA56</f>
        <v>48.27</v>
      </c>
      <c r="AB57" s="582"/>
      <c r="AC57" s="393">
        <f>AC56</f>
        <v>54.7</v>
      </c>
      <c r="AD57" s="849">
        <f t="shared" si="5"/>
        <v>0</v>
      </c>
    </row>
    <row r="58" spans="1:30" s="290" customFormat="1" ht="33.75" customHeight="1" thickBot="1">
      <c r="A58" s="1019">
        <v>10</v>
      </c>
      <c r="B58" s="1020" t="s">
        <v>393</v>
      </c>
      <c r="C58" s="785">
        <f>Додаток2!C70</f>
        <v>156086.81</v>
      </c>
      <c r="D58" s="786">
        <f>Додаток2!D70</f>
        <v>178795</v>
      </c>
      <c r="E58" s="786">
        <f>Додаток2!E70</f>
        <v>236872.88</v>
      </c>
      <c r="F58" s="787"/>
      <c r="G58" s="785">
        <f>Додаток2!G70</f>
        <v>131286.75</v>
      </c>
      <c r="H58" s="786">
        <f>Додаток2!H70</f>
        <v>152840.53</v>
      </c>
      <c r="I58" s="786">
        <f>Додаток2!I70</f>
        <v>205308.92</v>
      </c>
      <c r="J58" s="786"/>
      <c r="K58" s="786">
        <f>Додаток2!K70</f>
        <v>203396.26</v>
      </c>
      <c r="L58" s="787"/>
      <c r="M58" s="785">
        <f>Додаток2!M70</f>
        <v>21318.05</v>
      </c>
      <c r="N58" s="786">
        <f>Додаток2!N70</f>
        <v>22497.77</v>
      </c>
      <c r="O58" s="786">
        <f>Додаток2!O70</f>
        <v>27244.13</v>
      </c>
      <c r="P58" s="786"/>
      <c r="Q58" s="786">
        <f>Додаток2!Q70</f>
        <v>26506.98</v>
      </c>
      <c r="R58" s="787"/>
      <c r="S58" s="785">
        <f>Додаток2!S70</f>
        <v>3482.01</v>
      </c>
      <c r="T58" s="786">
        <f>Додаток2!T70</f>
        <v>3456.7</v>
      </c>
      <c r="U58" s="786">
        <f>Додаток2!U70</f>
        <v>8938.82</v>
      </c>
      <c r="V58" s="786"/>
      <c r="W58" s="786">
        <f>Додаток2!W70</f>
        <v>6908.81</v>
      </c>
      <c r="X58" s="787"/>
      <c r="Y58" s="853">
        <f>Додаток2!Y70</f>
        <v>35.68</v>
      </c>
      <c r="Z58" s="786">
        <f>Додаток2!Z70</f>
        <v>40.380000000000003</v>
      </c>
      <c r="AA58" s="786"/>
      <c r="AB58" s="786">
        <f>Додаток2!AB70</f>
        <v>60.83</v>
      </c>
      <c r="AC58" s="787"/>
      <c r="AD58" s="847"/>
    </row>
    <row r="59" spans="1:30" s="30" customFormat="1" ht="19.5" hidden="1" thickBot="1">
      <c r="A59" s="654">
        <v>11</v>
      </c>
      <c r="B59" s="655" t="s">
        <v>204</v>
      </c>
      <c r="C59" s="634"/>
      <c r="D59" s="634"/>
      <c r="E59" s="649">
        <f>E50/E48*100</f>
        <v>0</v>
      </c>
      <c r="F59" s="650">
        <f>F50/F48*100</f>
        <v>0</v>
      </c>
      <c r="G59" s="651"/>
      <c r="H59" s="651"/>
      <c r="I59" s="649">
        <f>I50/I48*100</f>
        <v>0</v>
      </c>
      <c r="J59" s="650">
        <f>J50/J48*100</f>
        <v>0</v>
      </c>
      <c r="K59" s="651"/>
      <c r="L59" s="651"/>
      <c r="M59" s="651"/>
      <c r="N59" s="651"/>
      <c r="O59" s="649">
        <f>O50/O48*100</f>
        <v>0</v>
      </c>
      <c r="P59" s="659">
        <f>P50/P48*100</f>
        <v>0</v>
      </c>
      <c r="Q59" s="651"/>
      <c r="R59" s="651"/>
      <c r="S59" s="651"/>
      <c r="T59" s="651"/>
      <c r="U59" s="649">
        <f>U50/U48*100</f>
        <v>0</v>
      </c>
      <c r="V59" s="650">
        <f>V50/V48*100</f>
        <v>0</v>
      </c>
      <c r="W59" s="651"/>
      <c r="X59" s="651"/>
      <c r="Y59" s="651"/>
      <c r="Z59" s="651"/>
      <c r="AA59" s="649"/>
      <c r="AB59" s="651"/>
      <c r="AC59" s="650"/>
      <c r="AD59" s="847"/>
    </row>
    <row r="60" spans="1:30" s="30" customFormat="1" ht="42" hidden="1" customHeight="1" thickTop="1">
      <c r="A60" s="2"/>
      <c r="B60" s="2"/>
      <c r="C60" s="2"/>
      <c r="D60" s="2"/>
      <c r="E60" s="10"/>
      <c r="F60" s="10"/>
      <c r="G60" s="10"/>
      <c r="H60" s="10"/>
      <c r="I60" s="10"/>
      <c r="J60" s="10">
        <v>47.85</v>
      </c>
      <c r="K60" s="10"/>
      <c r="L60" s="10"/>
      <c r="M60" s="10"/>
      <c r="N60" s="10"/>
      <c r="O60" s="130"/>
      <c r="P60" s="10">
        <v>48.27</v>
      </c>
      <c r="Q60" s="10"/>
      <c r="R60" s="10"/>
      <c r="S60" s="10"/>
      <c r="T60" s="10"/>
      <c r="U60" s="2"/>
      <c r="V60" s="2">
        <v>48.27</v>
      </c>
      <c r="W60" s="2"/>
      <c r="X60" s="2"/>
      <c r="Y60" s="2"/>
      <c r="Z60" s="2"/>
      <c r="AA60" s="2"/>
      <c r="AB60" s="2"/>
      <c r="AC60" s="2">
        <v>48.27</v>
      </c>
      <c r="AD60" s="847"/>
    </row>
    <row r="61" spans="1:30" s="30" customFormat="1" ht="42" customHeight="1" thickTop="1">
      <c r="A61" s="2"/>
      <c r="B61" s="2"/>
      <c r="C61" s="2"/>
      <c r="D61" s="2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30"/>
      <c r="P61" s="10"/>
      <c r="Q61" s="10"/>
      <c r="R61" s="10"/>
      <c r="S61" s="10"/>
      <c r="T61" s="10"/>
      <c r="U61" s="2"/>
      <c r="V61" s="2"/>
      <c r="W61" s="2"/>
      <c r="X61" s="2"/>
      <c r="Y61" s="2"/>
      <c r="Z61" s="2"/>
      <c r="AA61" s="2"/>
      <c r="AB61" s="2"/>
      <c r="AC61" s="2"/>
      <c r="AD61" s="847"/>
    </row>
    <row r="62" spans="1:30" s="30" customFormat="1" ht="42" customHeight="1">
      <c r="A62" s="2"/>
      <c r="B62" s="2"/>
      <c r="C62" s="2"/>
      <c r="D62" s="2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30"/>
      <c r="P62" s="10"/>
      <c r="Q62" s="10"/>
      <c r="R62" s="10"/>
      <c r="S62" s="10"/>
      <c r="T62" s="10"/>
      <c r="U62" s="2"/>
      <c r="V62" s="2"/>
      <c r="W62" s="2"/>
      <c r="X62" s="2"/>
      <c r="Y62" s="2"/>
      <c r="Z62" s="2"/>
      <c r="AA62" s="2"/>
      <c r="AB62" s="2"/>
      <c r="AC62" s="2"/>
      <c r="AD62" s="847"/>
    </row>
    <row r="63" spans="1:30" s="30" customFormat="1" ht="42" customHeight="1">
      <c r="A63" s="2"/>
      <c r="B63" s="2"/>
      <c r="C63" s="2"/>
      <c r="D63" s="2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30"/>
      <c r="P63" s="10"/>
      <c r="Q63" s="10"/>
      <c r="R63" s="10"/>
      <c r="S63" s="10"/>
      <c r="T63" s="10"/>
      <c r="U63" s="2"/>
      <c r="V63" s="2"/>
      <c r="W63" s="2"/>
      <c r="X63" s="2"/>
      <c r="Y63" s="2"/>
      <c r="Z63" s="2"/>
      <c r="AA63" s="2"/>
      <c r="AB63" s="2"/>
      <c r="AC63" s="2"/>
      <c r="AD63" s="847"/>
    </row>
    <row r="64" spans="1:30" s="30" customFormat="1" ht="42" customHeight="1">
      <c r="A64" s="2"/>
      <c r="B64" s="2"/>
      <c r="C64" s="2"/>
      <c r="D64" s="2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30"/>
      <c r="P64" s="10"/>
      <c r="Q64" s="10"/>
      <c r="R64" s="10"/>
      <c r="S64" s="10"/>
      <c r="T64" s="10"/>
      <c r="U64" s="2"/>
      <c r="V64" s="2"/>
      <c r="W64" s="2"/>
      <c r="X64" s="2"/>
      <c r="Y64" s="2"/>
      <c r="Z64" s="2"/>
      <c r="AA64" s="2"/>
      <c r="AB64" s="2"/>
      <c r="AC64" s="2"/>
      <c r="AD64" s="847"/>
    </row>
    <row r="65" spans="1:35" s="288" customFormat="1" ht="18" customHeight="1">
      <c r="A65" s="739"/>
      <c r="B65" s="916" t="s">
        <v>410</v>
      </c>
      <c r="D65" s="916"/>
      <c r="E65" s="741"/>
      <c r="F65" s="741"/>
      <c r="G65" s="741"/>
      <c r="H65" s="741"/>
      <c r="I65" s="741"/>
      <c r="J65" s="741"/>
      <c r="K65" s="741"/>
      <c r="L65" s="741"/>
      <c r="M65" s="741"/>
      <c r="N65" s="741"/>
      <c r="O65" s="741"/>
      <c r="P65" s="741"/>
      <c r="Q65" s="741"/>
      <c r="R65" s="741"/>
      <c r="S65" s="741"/>
      <c r="T65" s="741"/>
      <c r="U65" s="741"/>
      <c r="V65" s="741"/>
      <c r="W65" s="741"/>
      <c r="X65" s="741"/>
      <c r="Y65" s="741"/>
      <c r="Z65" s="741"/>
      <c r="AA65" s="741"/>
      <c r="AB65" s="741"/>
      <c r="AC65" s="741"/>
      <c r="AE65" s="287"/>
      <c r="AF65" s="287"/>
      <c r="AG65" s="287"/>
      <c r="AH65" s="287"/>
      <c r="AI65" s="287"/>
    </row>
    <row r="66" spans="1:35" s="134" customFormat="1" ht="18.75" customHeight="1">
      <c r="B66" s="917" t="s">
        <v>411</v>
      </c>
      <c r="D66" s="903"/>
      <c r="E66" s="903"/>
      <c r="F66" s="903"/>
      <c r="G66" s="903"/>
      <c r="H66" s="903"/>
      <c r="I66" s="903"/>
      <c r="J66" s="917" t="s">
        <v>391</v>
      </c>
      <c r="K66" s="903"/>
      <c r="U66" s="917"/>
      <c r="V66" s="917"/>
      <c r="X66" s="917"/>
      <c r="Y66" s="917"/>
      <c r="Z66" s="917"/>
      <c r="AA66" s="918"/>
      <c r="AB66" s="918"/>
      <c r="AC66" s="918"/>
      <c r="AD66" s="918"/>
      <c r="AE66" s="918"/>
    </row>
    <row r="67" spans="1:35" s="1" customFormat="1" ht="16.5">
      <c r="AE67" s="285"/>
      <c r="AF67" s="285"/>
      <c r="AG67" s="285"/>
      <c r="AH67" s="285"/>
      <c r="AI67" s="285"/>
    </row>
    <row r="68" spans="1:35" s="1" customFormat="1" ht="20.25">
      <c r="A68" s="164"/>
      <c r="O68" s="1065"/>
      <c r="P68" s="1065"/>
      <c r="Q68" s="632"/>
      <c r="R68" s="632"/>
      <c r="S68" s="632"/>
      <c r="T68" s="632"/>
      <c r="AE68" s="288"/>
      <c r="AF68" s="288"/>
      <c r="AG68" s="288"/>
      <c r="AH68" s="288"/>
      <c r="AI68" s="288"/>
    </row>
    <row r="69" spans="1:35" s="1" customFormat="1">
      <c r="B69" s="134" t="s">
        <v>452</v>
      </c>
      <c r="AE69" s="288"/>
      <c r="AF69" s="288"/>
      <c r="AG69" s="288"/>
      <c r="AH69" s="288"/>
      <c r="AI69" s="288"/>
    </row>
    <row r="70" spans="1:35" s="1" customFormat="1" ht="20.25">
      <c r="A70" s="209"/>
      <c r="B70" s="134" t="s">
        <v>453</v>
      </c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E70" s="288"/>
      <c r="AF70" s="288"/>
      <c r="AG70" s="288"/>
      <c r="AH70" s="288"/>
      <c r="AI70" s="288"/>
    </row>
    <row r="71" spans="1:35" s="30" customFormat="1" ht="20.25">
      <c r="B71" s="747"/>
      <c r="C71" s="747"/>
      <c r="D71" s="747"/>
      <c r="O71" s="130"/>
      <c r="U71" s="31"/>
      <c r="AD71" s="847"/>
    </row>
    <row r="72" spans="1:35" s="134" customFormat="1" ht="19.5" customHeight="1">
      <c r="B72" s="712"/>
      <c r="C72" s="712"/>
      <c r="D72" s="712"/>
      <c r="E72" s="272"/>
      <c r="F72" s="272"/>
      <c r="G72" s="272"/>
      <c r="H72" s="272"/>
      <c r="I72" s="272"/>
      <c r="J72" s="272"/>
      <c r="K72" s="272"/>
      <c r="U72" s="712"/>
      <c r="V72" s="712"/>
      <c r="W72" s="712"/>
      <c r="X72" s="712"/>
      <c r="Y72" s="712"/>
      <c r="Z72" s="712"/>
      <c r="AA72" s="294"/>
      <c r="AB72" s="294"/>
      <c r="AC72" s="294"/>
      <c r="AD72" s="850"/>
      <c r="AE72" s="294"/>
    </row>
    <row r="73" spans="1:35" s="134" customFormat="1" ht="63" customHeight="1">
      <c r="A73" s="30"/>
      <c r="B73" s="31"/>
      <c r="C73" s="31"/>
      <c r="D73" s="31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130"/>
      <c r="P73" s="30"/>
      <c r="Q73" s="30"/>
      <c r="R73" s="30"/>
      <c r="S73" s="30"/>
      <c r="T73" s="30"/>
      <c r="U73" s="31"/>
      <c r="V73" s="30"/>
      <c r="W73" s="30"/>
      <c r="X73" s="30"/>
      <c r="Y73" s="30"/>
      <c r="Z73" s="30"/>
      <c r="AA73" s="30"/>
      <c r="AB73" s="30"/>
      <c r="AC73" s="30"/>
      <c r="AD73" s="847"/>
    </row>
    <row r="74" spans="1:35">
      <c r="A74" s="30"/>
      <c r="B74" s="31"/>
      <c r="C74" s="31"/>
      <c r="D74" s="31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130"/>
      <c r="P74" s="30"/>
      <c r="Q74" s="30"/>
      <c r="R74" s="30"/>
      <c r="S74" s="30"/>
      <c r="T74" s="30"/>
      <c r="U74" s="31"/>
      <c r="V74" s="30"/>
      <c r="W74" s="30"/>
      <c r="X74" s="30"/>
      <c r="Y74" s="30"/>
      <c r="Z74" s="30"/>
      <c r="AA74" s="30"/>
      <c r="AB74" s="30"/>
      <c r="AC74" s="30"/>
    </row>
    <row r="75" spans="1:35" ht="20.25">
      <c r="A75" s="1128"/>
      <c r="B75" s="1128"/>
      <c r="C75" s="1128"/>
      <c r="D75" s="1128"/>
      <c r="E75" s="1128"/>
      <c r="F75" s="1128"/>
      <c r="G75" s="1128"/>
      <c r="H75" s="1128"/>
      <c r="I75" s="1128"/>
      <c r="J75" s="134"/>
      <c r="K75" s="134"/>
      <c r="L75" s="134"/>
      <c r="M75" s="134"/>
      <c r="N75" s="134"/>
      <c r="O75" s="134"/>
      <c r="P75" s="1127"/>
      <c r="Q75" s="1127"/>
      <c r="R75" s="1127"/>
      <c r="S75" s="1127"/>
      <c r="T75" s="1127"/>
      <c r="U75" s="1127"/>
      <c r="V75" s="1127"/>
      <c r="W75" s="294"/>
      <c r="X75" s="294"/>
      <c r="Y75" s="294"/>
      <c r="Z75" s="294"/>
      <c r="AA75" s="294"/>
      <c r="AB75" s="294"/>
      <c r="AC75" s="294"/>
    </row>
  </sheetData>
  <sheetProtection selectLockedCells="1" selectUnlockedCells="1"/>
  <customSheetViews>
    <customSheetView guid="{8839ED87-9C42-4CC2-A1AD-6EF9611832A1}" scale="85" showPageBreaks="1" fitToPage="1" printArea="1" hiddenRows="1" hiddenColumns="1" view="pageBreakPreview">
      <pane xSplit="2" ySplit="11" topLeftCell="C12" activePane="bottomRight" state="frozen"/>
      <selection pane="bottomRight" activeCell="B15" sqref="B15"/>
      <pageMargins left="0.21" right="0.26" top="0.26" bottom="0.35433070866141736" header="0" footer="0"/>
      <pageSetup paperSize="9" scale="76" firstPageNumber="0" orientation="portrait" verticalDpi="300" r:id="rId1"/>
      <headerFooter alignWithMargins="0"/>
    </customSheetView>
    <customSheetView guid="{B233FDC7-B79B-43AD-9288-8B6C8ACB6ACB}" scale="85" showPageBreaks="1" fitToPage="1" view="pageBreakPreview">
      <pane xSplit="2" ySplit="11" topLeftCell="C12" activePane="bottomRight" state="frozen"/>
      <selection pane="bottomRight" activeCell="E31" sqref="E31"/>
      <pageMargins left="0.43307086614173229" right="0.39370078740157483" top="0.26" bottom="0.35433070866141736" header="0" footer="0"/>
      <pageSetup paperSize="9" scale="42" firstPageNumber="0" orientation="portrait" verticalDpi="300" r:id="rId2"/>
      <headerFooter alignWithMargins="0"/>
    </customSheetView>
    <customSheetView guid="{BF9F446D-D2F9-4EAA-BD71-B531E336462E}" scale="85" showPageBreaks="1" fitToPage="1" printArea="1" hiddenRows="1" hiddenColumns="1" view="pageBreakPreview">
      <pane xSplit="2" ySplit="11" topLeftCell="C12" activePane="bottomRight" state="frozen"/>
      <selection pane="bottomRight" activeCell="I16" sqref="I16"/>
      <pageMargins left="0.21" right="0.26" top="0.26" bottom="0.35433070866141736" header="0" footer="0"/>
      <pageSetup paperSize="9" scale="76" firstPageNumber="0" orientation="portrait" verticalDpi="300" r:id="rId3"/>
      <headerFooter alignWithMargins="0"/>
    </customSheetView>
  </customSheetViews>
  <mergeCells count="21">
    <mergeCell ref="B3:P3"/>
    <mergeCell ref="B4:B6"/>
    <mergeCell ref="A1:X1"/>
    <mergeCell ref="A2:X2"/>
    <mergeCell ref="I5:J5"/>
    <mergeCell ref="K5:L5"/>
    <mergeCell ref="C4:F4"/>
    <mergeCell ref="S4:X4"/>
    <mergeCell ref="P75:V75"/>
    <mergeCell ref="A75:I75"/>
    <mergeCell ref="A4:A6"/>
    <mergeCell ref="O68:P68"/>
    <mergeCell ref="G4:L4"/>
    <mergeCell ref="U5:V5"/>
    <mergeCell ref="Y4:AC4"/>
    <mergeCell ref="AB5:AC5"/>
    <mergeCell ref="W5:X5"/>
    <mergeCell ref="O5:P5"/>
    <mergeCell ref="Q5:R5"/>
    <mergeCell ref="E5:F5"/>
    <mergeCell ref="M4:R4"/>
  </mergeCells>
  <phoneticPr fontId="6" type="noConversion"/>
  <pageMargins left="0.98425196850393704" right="0.19685039370078741" top="0.39370078740157483" bottom="0.19685039370078741" header="0" footer="0"/>
  <pageSetup paperSize="9" scale="65" firstPageNumber="0" orientation="portrait" verticalDpi="300" r:id="rId4"/>
  <headerFooter alignWithMargins="0"/>
  <rowBreaks count="1" manualBreakCount="1">
    <brk id="72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I65"/>
  <sheetViews>
    <sheetView view="pageBreakPreview" zoomScale="60" zoomScaleNormal="80" workbookViewId="0">
      <pane xSplit="2" ySplit="11" topLeftCell="C12" activePane="bottomRight" state="frozen"/>
      <selection activeCell="B36" sqref="B36"/>
      <selection pane="topRight" activeCell="B36" sqref="B36"/>
      <selection pane="bottomLeft" activeCell="B36" sqref="B36"/>
      <selection pane="bottomRight" activeCell="I19" sqref="I19"/>
    </sheetView>
  </sheetViews>
  <sheetFormatPr defaultColWidth="11.5703125" defaultRowHeight="12.75"/>
  <cols>
    <col min="1" max="1" width="8" style="2" customWidth="1"/>
    <col min="2" max="2" width="61.7109375" style="2" customWidth="1"/>
    <col min="3" max="3" width="12.5703125" style="10" customWidth="1"/>
    <col min="4" max="5" width="11.42578125" style="10" customWidth="1"/>
    <col min="6" max="6" width="10.28515625" style="10" customWidth="1"/>
    <col min="7" max="7" width="11.42578125" style="10" customWidth="1"/>
    <col min="8" max="8" width="10.42578125" style="10" customWidth="1"/>
    <col min="9" max="9" width="8.5703125" style="10" customWidth="1"/>
    <col min="10" max="10" width="11.5703125" style="10" customWidth="1"/>
    <col min="11" max="11" width="10" style="10" customWidth="1"/>
    <col min="12" max="12" width="10.85546875" style="10" customWidth="1"/>
    <col min="13" max="13" width="10" style="10" customWidth="1"/>
    <col min="14" max="14" width="8.7109375" style="10" customWidth="1"/>
    <col min="15" max="15" width="11" style="10" customWidth="1"/>
    <col min="16" max="16" width="9.28515625" style="10" customWidth="1"/>
    <col min="17" max="17" width="10.85546875" style="2" customWidth="1"/>
    <col min="18" max="18" width="9" style="2" customWidth="1"/>
    <col min="19" max="19" width="8.7109375" style="2" customWidth="1"/>
    <col min="20" max="20" width="10.5703125" style="2" customWidth="1"/>
    <col min="21" max="21" width="9.7109375" style="2" customWidth="1"/>
    <col min="22" max="22" width="19" style="2" customWidth="1"/>
    <col min="23" max="23" width="18.28515625" style="2" customWidth="1"/>
    <col min="24" max="24" width="11.5703125" style="2"/>
    <col min="25" max="25" width="14" style="2" customWidth="1"/>
    <col min="26" max="26" width="14.28515625" style="2" customWidth="1"/>
    <col min="27" max="27" width="12.42578125" style="2" bestFit="1" customWidth="1"/>
    <col min="28" max="28" width="13.140625" style="2" bestFit="1" customWidth="1"/>
    <col min="29" max="29" width="15" style="2" bestFit="1" customWidth="1"/>
    <col min="30" max="30" width="11.5703125" style="2"/>
    <col min="31" max="31" width="13.7109375" style="2" bestFit="1" customWidth="1"/>
    <col min="32" max="32" width="11.5703125" style="2"/>
    <col min="33" max="33" width="15" style="2" bestFit="1" customWidth="1"/>
    <col min="34" max="34" width="11.5703125" style="2"/>
    <col min="35" max="35" width="17.85546875" style="2" customWidth="1"/>
    <col min="36" max="16384" width="11.5703125" style="2"/>
  </cols>
  <sheetData>
    <row r="1" spans="1:35" ht="15.75" customHeight="1">
      <c r="A1" s="1135" t="s">
        <v>274</v>
      </c>
      <c r="B1" s="1135"/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  <c r="O1" s="1135"/>
      <c r="P1" s="1135"/>
      <c r="Q1" s="1135"/>
      <c r="R1" s="1135"/>
      <c r="S1" s="1135"/>
      <c r="T1" s="1135"/>
      <c r="U1" s="1135"/>
      <c r="V1" s="251"/>
    </row>
    <row r="2" spans="1:35" ht="16.5" customHeight="1">
      <c r="A2" s="1135"/>
      <c r="B2" s="1135"/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251"/>
    </row>
    <row r="3" spans="1:35" ht="15" customHeight="1">
      <c r="A3" s="1135"/>
      <c r="B3" s="1135"/>
      <c r="C3" s="1135"/>
      <c r="D3" s="1135"/>
      <c r="E3" s="1135"/>
      <c r="F3" s="1135"/>
      <c r="G3" s="1135"/>
      <c r="H3" s="1135"/>
      <c r="I3" s="1135"/>
      <c r="J3" s="1135"/>
      <c r="K3" s="1135"/>
      <c r="L3" s="1135"/>
      <c r="M3" s="1135"/>
      <c r="N3" s="1135"/>
      <c r="O3" s="1135"/>
      <c r="P3" s="1135"/>
      <c r="Q3" s="1135"/>
      <c r="R3" s="1135"/>
      <c r="S3" s="1135"/>
      <c r="T3" s="1135"/>
      <c r="U3" s="1135"/>
      <c r="V3" s="251"/>
    </row>
    <row r="4" spans="1:35" ht="16.5" customHeight="1">
      <c r="A4" s="1135"/>
      <c r="B4" s="1135"/>
      <c r="C4" s="1135"/>
      <c r="D4" s="1135"/>
      <c r="E4" s="1135"/>
      <c r="F4" s="1135"/>
      <c r="G4" s="1135"/>
      <c r="H4" s="1135"/>
      <c r="I4" s="1135"/>
      <c r="J4" s="1135"/>
      <c r="K4" s="1135"/>
      <c r="L4" s="1135"/>
      <c r="M4" s="1135"/>
      <c r="N4" s="1135"/>
      <c r="O4" s="1135"/>
      <c r="P4" s="1135"/>
      <c r="Q4" s="1135"/>
      <c r="R4" s="1135"/>
      <c r="S4" s="1135"/>
      <c r="T4" s="1135"/>
      <c r="U4" s="1135"/>
      <c r="V4" s="251"/>
    </row>
    <row r="5" spans="1:35" ht="20.25" hidden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spans="1:35" ht="18.75" hidden="1" customHeight="1">
      <c r="A6" s="269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spans="1:35" ht="20.25" customHeight="1">
      <c r="B7" s="1136"/>
      <c r="C7" s="1136"/>
      <c r="D7" s="1136"/>
      <c r="E7" s="1136"/>
      <c r="F7" s="1136"/>
      <c r="G7" s="1136"/>
      <c r="H7" s="1136"/>
      <c r="I7" s="1136"/>
      <c r="J7" s="1136"/>
      <c r="K7" s="1136"/>
      <c r="L7" s="1132"/>
      <c r="M7" s="1132"/>
      <c r="N7" s="228"/>
      <c r="O7" s="228"/>
      <c r="P7" s="228"/>
      <c r="R7" s="129"/>
      <c r="U7" s="129" t="s">
        <v>26</v>
      </c>
      <c r="Y7" s="450" t="s">
        <v>334</v>
      </c>
    </row>
    <row r="8" spans="1:35" ht="22.5" customHeight="1" thickBot="1">
      <c r="A8" s="1137" t="s">
        <v>171</v>
      </c>
      <c r="B8" s="1137" t="s">
        <v>4</v>
      </c>
      <c r="C8" s="1055" t="s">
        <v>193</v>
      </c>
      <c r="D8" s="1072"/>
      <c r="E8" s="1072"/>
      <c r="F8" s="1073"/>
      <c r="G8" s="1140" t="s">
        <v>126</v>
      </c>
      <c r="H8" s="1141"/>
      <c r="I8" s="1141"/>
      <c r="J8" s="1141"/>
      <c r="K8" s="1142"/>
      <c r="L8" s="1054" t="s">
        <v>235</v>
      </c>
      <c r="M8" s="1054"/>
      <c r="N8" s="1054"/>
      <c r="O8" s="1054"/>
      <c r="P8" s="1054"/>
      <c r="Q8" s="1054" t="s">
        <v>157</v>
      </c>
      <c r="R8" s="1054"/>
      <c r="S8" s="1054"/>
      <c r="T8" s="1054"/>
      <c r="U8" s="1054"/>
      <c r="V8" s="427"/>
      <c r="W8" s="428"/>
      <c r="X8" s="428"/>
      <c r="Y8" s="428"/>
      <c r="Z8" s="428"/>
      <c r="AA8" s="428"/>
      <c r="AB8" s="428"/>
      <c r="AC8" s="428"/>
    </row>
    <row r="9" spans="1:35" ht="90.75" customHeight="1" thickTop="1">
      <c r="A9" s="1138"/>
      <c r="B9" s="1138"/>
      <c r="C9" s="1055" t="s">
        <v>258</v>
      </c>
      <c r="D9" s="1073"/>
      <c r="E9" s="1054" t="s">
        <v>189</v>
      </c>
      <c r="F9" s="1054"/>
      <c r="G9" s="1055" t="s">
        <v>256</v>
      </c>
      <c r="H9" s="1073"/>
      <c r="I9" s="52" t="s">
        <v>194</v>
      </c>
      <c r="J9" s="1143" t="str">
        <f>'Додаток1 скор'!K5</f>
        <v>Скориговані показники (на ТЕ згідно Постанови  №929 від 09.06.2016р.) з 01.07.2016р.</v>
      </c>
      <c r="K9" s="1143"/>
      <c r="L9" s="1055" t="s">
        <v>257</v>
      </c>
      <c r="M9" s="1073"/>
      <c r="N9" s="52" t="s">
        <v>194</v>
      </c>
      <c r="O9" s="1143" t="e">
        <f>'Послуга ЦО'!#REF!</f>
        <v>#REF!</v>
      </c>
      <c r="P9" s="1143"/>
      <c r="Q9" s="1055" t="s">
        <v>257</v>
      </c>
      <c r="R9" s="1073"/>
      <c r="S9" s="52" t="s">
        <v>194</v>
      </c>
      <c r="T9" s="1143" t="e">
        <f>'Послуга ЦО'!#REF!</f>
        <v>#REF!</v>
      </c>
      <c r="U9" s="1143"/>
      <c r="V9" s="429"/>
      <c r="W9" s="1100" t="s">
        <v>326</v>
      </c>
      <c r="X9" s="1100"/>
      <c r="Y9" s="1156" t="s">
        <v>307</v>
      </c>
      <c r="Z9" s="1169" t="s">
        <v>320</v>
      </c>
      <c r="AA9" s="1171" t="s">
        <v>316</v>
      </c>
      <c r="AB9" s="1172"/>
      <c r="AC9" s="1174" t="s">
        <v>307</v>
      </c>
      <c r="AD9" s="1154" t="s">
        <v>320</v>
      </c>
      <c r="AE9" s="1167" t="s">
        <v>316</v>
      </c>
      <c r="AF9" s="1100"/>
      <c r="AG9" s="1156" t="s">
        <v>333</v>
      </c>
      <c r="AH9" s="1156" t="s">
        <v>320</v>
      </c>
    </row>
    <row r="10" spans="1:35" ht="27" customHeight="1">
      <c r="A10" s="1139"/>
      <c r="B10" s="1139"/>
      <c r="C10" s="51" t="s">
        <v>170</v>
      </c>
      <c r="D10" s="51" t="s">
        <v>77</v>
      </c>
      <c r="E10" s="51" t="s">
        <v>170</v>
      </c>
      <c r="F10" s="307" t="s">
        <v>77</v>
      </c>
      <c r="G10" s="51" t="s">
        <v>170</v>
      </c>
      <c r="H10" s="51" t="s">
        <v>77</v>
      </c>
      <c r="I10" s="51" t="s">
        <v>190</v>
      </c>
      <c r="J10" s="51" t="s">
        <v>170</v>
      </c>
      <c r="K10" s="307" t="s">
        <v>77</v>
      </c>
      <c r="L10" s="51" t="s">
        <v>170</v>
      </c>
      <c r="M10" s="51" t="s">
        <v>77</v>
      </c>
      <c r="N10" s="51" t="s">
        <v>190</v>
      </c>
      <c r="O10" s="51" t="s">
        <v>170</v>
      </c>
      <c r="P10" s="307" t="s">
        <v>77</v>
      </c>
      <c r="Q10" s="51" t="s">
        <v>170</v>
      </c>
      <c r="R10" s="51" t="s">
        <v>77</v>
      </c>
      <c r="S10" s="229" t="s">
        <v>190</v>
      </c>
      <c r="T10" s="51" t="s">
        <v>170</v>
      </c>
      <c r="U10" s="307" t="s">
        <v>77</v>
      </c>
      <c r="V10" s="429"/>
      <c r="W10" s="1100"/>
      <c r="X10" s="1100"/>
      <c r="Y10" s="1157"/>
      <c r="Z10" s="1170"/>
      <c r="AA10" s="1173"/>
      <c r="AB10" s="1100"/>
      <c r="AC10" s="1157"/>
      <c r="AD10" s="1155"/>
      <c r="AE10" s="1167"/>
      <c r="AF10" s="1100"/>
      <c r="AG10" s="1157"/>
      <c r="AH10" s="1157"/>
    </row>
    <row r="11" spans="1:35" ht="12" customHeight="1">
      <c r="A11" s="13">
        <v>1</v>
      </c>
      <c r="B11" s="13">
        <v>2</v>
      </c>
      <c r="C11" s="16">
        <v>3</v>
      </c>
      <c r="D11" s="16">
        <v>4</v>
      </c>
      <c r="E11" s="16">
        <v>5</v>
      </c>
      <c r="F11" s="304">
        <v>6</v>
      </c>
      <c r="G11" s="16">
        <v>7</v>
      </c>
      <c r="H11" s="16">
        <v>8</v>
      </c>
      <c r="I11" s="16">
        <v>9</v>
      </c>
      <c r="J11" s="16">
        <v>10</v>
      </c>
      <c r="K11" s="304">
        <v>11</v>
      </c>
      <c r="L11" s="16">
        <v>12</v>
      </c>
      <c r="M11" s="16">
        <v>13</v>
      </c>
      <c r="N11" s="16">
        <v>14</v>
      </c>
      <c r="O11" s="16">
        <v>15</v>
      </c>
      <c r="P11" s="304">
        <v>16</v>
      </c>
      <c r="Q11" s="16">
        <v>17</v>
      </c>
      <c r="R11" s="16">
        <v>18</v>
      </c>
      <c r="S11" s="16">
        <v>19</v>
      </c>
      <c r="T11" s="16">
        <v>20</v>
      </c>
      <c r="U11" s="304">
        <v>21</v>
      </c>
      <c r="V11" s="430"/>
      <c r="W11" s="431" t="s">
        <v>304</v>
      </c>
      <c r="X11" s="431" t="s">
        <v>305</v>
      </c>
      <c r="Y11" s="431" t="s">
        <v>304</v>
      </c>
      <c r="Z11" s="459" t="s">
        <v>305</v>
      </c>
      <c r="AA11" s="465" t="s">
        <v>304</v>
      </c>
      <c r="AB11" s="431" t="s">
        <v>305</v>
      </c>
      <c r="AC11" s="431" t="s">
        <v>304</v>
      </c>
      <c r="AD11" s="466" t="s">
        <v>305</v>
      </c>
      <c r="AE11" s="463" t="s">
        <v>304</v>
      </c>
      <c r="AF11" s="431" t="s">
        <v>305</v>
      </c>
      <c r="AG11" s="431" t="s">
        <v>304</v>
      </c>
      <c r="AH11" s="431" t="s">
        <v>305</v>
      </c>
    </row>
    <row r="12" spans="1:35" s="8" customFormat="1" ht="20.100000000000001" customHeight="1">
      <c r="A12" s="293">
        <v>1</v>
      </c>
      <c r="B12" s="325" t="s">
        <v>29</v>
      </c>
      <c r="C12" s="296">
        <f t="shared" ref="C12:C48" si="0">G12+L12+Q12</f>
        <v>8564.9</v>
      </c>
      <c r="D12" s="296">
        <f t="shared" ref="D12:D43" si="1">C12/$C$50*1000</f>
        <v>35.47</v>
      </c>
      <c r="E12" s="296">
        <f>J12+O12+T12</f>
        <v>11240.23</v>
      </c>
      <c r="F12" s="305">
        <f t="shared" ref="F12:F43" si="2">E12/$E$50*1000</f>
        <v>46.54</v>
      </c>
      <c r="G12" s="296">
        <f>G14+G21+G24+G27</f>
        <v>7281.61</v>
      </c>
      <c r="H12" s="296">
        <f t="shared" ref="H12:H43" si="3">G12/$G$50*1000</f>
        <v>35.47</v>
      </c>
      <c r="I12" s="219">
        <f>J12/G12</f>
        <v>1.3106</v>
      </c>
      <c r="J12" s="296">
        <f>J14+J21+J24+J27</f>
        <v>9543.0300000000007</v>
      </c>
      <c r="K12" s="305">
        <f t="shared" ref="K12:K43" si="4">J12/$J$50*1000</f>
        <v>46.48</v>
      </c>
      <c r="L12" s="296">
        <f>L14+L21+L24+L27</f>
        <v>966.24</v>
      </c>
      <c r="M12" s="296">
        <f t="shared" ref="M12:M43" si="5">L12/$L$50*1000</f>
        <v>35.47</v>
      </c>
      <c r="N12" s="219">
        <f>O12/L12</f>
        <v>1.3226</v>
      </c>
      <c r="O12" s="296">
        <f>O14+O21+O24+O27</f>
        <v>1277.9100000000001</v>
      </c>
      <c r="P12" s="305">
        <f t="shared" ref="P12:P43" si="6">O12/$O$50*1000</f>
        <v>46.91</v>
      </c>
      <c r="Q12" s="296">
        <f>Q14+Q21+Q24+Q27</f>
        <v>317.05</v>
      </c>
      <c r="R12" s="296">
        <f t="shared" ref="R12:R43" si="7">Q12/$Q$50*1000</f>
        <v>35.47</v>
      </c>
      <c r="S12" s="219">
        <f>T12/Q12</f>
        <v>1.3225</v>
      </c>
      <c r="T12" s="296">
        <f>T14+T21+T24+T27</f>
        <v>419.29</v>
      </c>
      <c r="U12" s="305">
        <f t="shared" ref="U12:U43" si="8">T12/$T$50*1000</f>
        <v>46.91</v>
      </c>
      <c r="V12" s="430"/>
      <c r="W12" s="1160" t="s">
        <v>309</v>
      </c>
      <c r="X12" s="1160"/>
      <c r="Y12" s="1160"/>
      <c r="Z12" s="1161"/>
      <c r="AA12" s="1165" t="s">
        <v>321</v>
      </c>
      <c r="AB12" s="1160"/>
      <c r="AC12" s="1160"/>
      <c r="AD12" s="1166"/>
      <c r="AE12" s="1168" t="s">
        <v>327</v>
      </c>
      <c r="AF12" s="1160"/>
      <c r="AG12" s="1160"/>
      <c r="AH12" s="1160"/>
    </row>
    <row r="13" spans="1:35" s="8" customFormat="1" ht="20.100000000000001" customHeight="1">
      <c r="A13" s="326"/>
      <c r="B13" s="314" t="s">
        <v>271</v>
      </c>
      <c r="C13" s="305">
        <f>C14+C22+C24</f>
        <v>6887.07</v>
      </c>
      <c r="D13" s="305">
        <f t="shared" si="1"/>
        <v>28.52</v>
      </c>
      <c r="E13" s="305">
        <f>E14+E21+E24</f>
        <v>11212.19</v>
      </c>
      <c r="F13" s="305">
        <f t="shared" si="2"/>
        <v>46.43</v>
      </c>
      <c r="G13" s="305">
        <f>G14+G21+G24</f>
        <v>7262.61</v>
      </c>
      <c r="H13" s="305">
        <f t="shared" si="3"/>
        <v>35.369999999999997</v>
      </c>
      <c r="I13" s="316">
        <f>J13/G13</f>
        <v>1.3107</v>
      </c>
      <c r="J13" s="305">
        <f>J14+J21+J24</f>
        <v>9519.2000000000007</v>
      </c>
      <c r="K13" s="305">
        <f t="shared" si="4"/>
        <v>46.37</v>
      </c>
      <c r="L13" s="305">
        <f>L14+L21+L24</f>
        <v>963.72</v>
      </c>
      <c r="M13" s="305">
        <f t="shared" si="5"/>
        <v>35.369999999999997</v>
      </c>
      <c r="N13" s="316">
        <f>O13/L13</f>
        <v>1.3227</v>
      </c>
      <c r="O13" s="305">
        <f>O14+O21+O24</f>
        <v>1274.74</v>
      </c>
      <c r="P13" s="305">
        <f t="shared" si="6"/>
        <v>46.79</v>
      </c>
      <c r="Q13" s="305">
        <f>Q14+Q21+Q24</f>
        <v>316.22000000000003</v>
      </c>
      <c r="R13" s="305">
        <f t="shared" si="7"/>
        <v>35.380000000000003</v>
      </c>
      <c r="S13" s="316">
        <f>T13/Q13</f>
        <v>1.3227</v>
      </c>
      <c r="T13" s="305">
        <f>T14+T21+T24</f>
        <v>418.25</v>
      </c>
      <c r="U13" s="305">
        <f t="shared" si="8"/>
        <v>46.79</v>
      </c>
      <c r="V13" s="436" t="s">
        <v>323</v>
      </c>
      <c r="W13" s="432">
        <f>L16</f>
        <v>0</v>
      </c>
      <c r="X13" s="433">
        <v>75.11</v>
      </c>
      <c r="Y13" s="268">
        <v>0</v>
      </c>
      <c r="Z13" s="460">
        <f>X13*Y16</f>
        <v>154.75</v>
      </c>
      <c r="AA13" s="467">
        <f>Q16</f>
        <v>0</v>
      </c>
      <c r="AB13" s="268">
        <v>75.11</v>
      </c>
      <c r="AC13" s="260">
        <v>0</v>
      </c>
      <c r="AD13" s="468">
        <f>AB13*AC16</f>
        <v>154.75</v>
      </c>
      <c r="AE13" s="464">
        <f>G16</f>
        <v>0</v>
      </c>
      <c r="AF13" s="268">
        <v>75.11</v>
      </c>
      <c r="AG13" s="260">
        <v>0</v>
      </c>
      <c r="AH13" s="259">
        <f>AF13*AG16</f>
        <v>146.51</v>
      </c>
    </row>
    <row r="14" spans="1:35" s="8" customFormat="1" ht="19.5" customHeight="1">
      <c r="A14" s="327" t="s">
        <v>31</v>
      </c>
      <c r="B14" s="325" t="s">
        <v>149</v>
      </c>
      <c r="C14" s="296">
        <f t="shared" si="0"/>
        <v>1856.63</v>
      </c>
      <c r="D14" s="296">
        <f t="shared" si="1"/>
        <v>7.69</v>
      </c>
      <c r="E14" s="296">
        <f t="shared" ref="E14:E49" si="9">J14+O14+T14</f>
        <v>2760.28</v>
      </c>
      <c r="F14" s="305">
        <f t="shared" si="2"/>
        <v>11.43</v>
      </c>
      <c r="G14" s="296">
        <f>G15+G18+G19+G20</f>
        <v>1578.45</v>
      </c>
      <c r="H14" s="296">
        <f t="shared" si="3"/>
        <v>7.69</v>
      </c>
      <c r="I14" s="219">
        <f>J14/G14</f>
        <v>1.4783999999999999</v>
      </c>
      <c r="J14" s="296">
        <f>J15+J18+J19+J20</f>
        <v>2333.65</v>
      </c>
      <c r="K14" s="305">
        <f t="shared" si="4"/>
        <v>11.37</v>
      </c>
      <c r="L14" s="296">
        <f>L15+L18+L19+L20</f>
        <v>209.45</v>
      </c>
      <c r="M14" s="296">
        <f t="shared" si="5"/>
        <v>7.69</v>
      </c>
      <c r="N14" s="219">
        <f>O14/L14</f>
        <v>1.5337000000000001</v>
      </c>
      <c r="O14" s="296">
        <f>O15+O18+O19+O20</f>
        <v>321.23</v>
      </c>
      <c r="P14" s="305">
        <f t="shared" si="6"/>
        <v>11.79</v>
      </c>
      <c r="Q14" s="296">
        <f>Q15+Q18+Q19+Q20</f>
        <v>68.73</v>
      </c>
      <c r="R14" s="296">
        <f t="shared" si="7"/>
        <v>7.69</v>
      </c>
      <c r="S14" s="219">
        <f>T14/Q14</f>
        <v>1.5335000000000001</v>
      </c>
      <c r="T14" s="296">
        <f>T15+T18+T19+T20</f>
        <v>105.4</v>
      </c>
      <c r="U14" s="305">
        <f t="shared" si="8"/>
        <v>11.79</v>
      </c>
      <c r="V14" s="436" t="s">
        <v>324</v>
      </c>
      <c r="W14" s="432">
        <f>L17</f>
        <v>105.42</v>
      </c>
      <c r="X14" s="433">
        <v>95.61</v>
      </c>
      <c r="Y14" s="260">
        <v>217.20500622401201</v>
      </c>
      <c r="Z14" s="461">
        <f>X14*Y16</f>
        <v>196.99</v>
      </c>
      <c r="AA14" s="469">
        <f>Q17</f>
        <v>34.590000000000003</v>
      </c>
      <c r="AB14" s="260">
        <v>95.61</v>
      </c>
      <c r="AC14" s="260">
        <v>71.265145488049399</v>
      </c>
      <c r="AD14" s="468">
        <f>AB14*AC16</f>
        <v>196.98</v>
      </c>
      <c r="AE14" s="464">
        <f>G17</f>
        <v>794.45</v>
      </c>
      <c r="AF14" s="260">
        <v>95.61</v>
      </c>
      <c r="AG14" s="260">
        <v>1549.67051427046</v>
      </c>
      <c r="AH14" s="259">
        <f>AF14*AG16</f>
        <v>186.5</v>
      </c>
    </row>
    <row r="15" spans="1:35" ht="20.100000000000001" customHeight="1" thickBot="1">
      <c r="A15" s="328" t="s">
        <v>33</v>
      </c>
      <c r="B15" s="248" t="s">
        <v>244</v>
      </c>
      <c r="C15" s="298">
        <f t="shared" si="0"/>
        <v>934.46</v>
      </c>
      <c r="D15" s="298">
        <f t="shared" si="1"/>
        <v>3.87</v>
      </c>
      <c r="E15" s="298">
        <f t="shared" si="9"/>
        <v>1838.11</v>
      </c>
      <c r="F15" s="306">
        <f t="shared" si="2"/>
        <v>7.61</v>
      </c>
      <c r="G15" s="298">
        <f>SUM(G16:G17)</f>
        <v>794.45</v>
      </c>
      <c r="H15" s="298">
        <f t="shared" si="3"/>
        <v>3.87</v>
      </c>
      <c r="I15" s="255">
        <f>IF(G15=0,0,1)</f>
        <v>1</v>
      </c>
      <c r="J15" s="298">
        <f>SUM(J16:J17)</f>
        <v>1549.65</v>
      </c>
      <c r="K15" s="306">
        <f t="shared" si="4"/>
        <v>7.55</v>
      </c>
      <c r="L15" s="298">
        <f>SUM(L16:L17)</f>
        <v>105.42</v>
      </c>
      <c r="M15" s="298">
        <f t="shared" si="5"/>
        <v>3.87</v>
      </c>
      <c r="N15" s="255">
        <f>IF(L15=0,0,1)</f>
        <v>1</v>
      </c>
      <c r="O15" s="298">
        <f>O16+O17</f>
        <v>217.2</v>
      </c>
      <c r="P15" s="306">
        <f t="shared" si="6"/>
        <v>7.97</v>
      </c>
      <c r="Q15" s="298">
        <f>SUM(Q16:Q17)</f>
        <v>34.590000000000003</v>
      </c>
      <c r="R15" s="298">
        <f t="shared" si="7"/>
        <v>3.87</v>
      </c>
      <c r="S15" s="255">
        <f>IF(Q15=0,0,1)</f>
        <v>1</v>
      </c>
      <c r="T15" s="298">
        <f>SUM(T16:T17)</f>
        <v>71.260000000000005</v>
      </c>
      <c r="U15" s="306">
        <f t="shared" si="8"/>
        <v>7.97</v>
      </c>
      <c r="V15" s="437" t="s">
        <v>325</v>
      </c>
      <c r="W15" s="434">
        <f>W13+W14</f>
        <v>105.42</v>
      </c>
      <c r="X15" s="434"/>
      <c r="Y15" s="260">
        <f>Y13+Y14</f>
        <v>217.20500622401201</v>
      </c>
      <c r="Z15" s="462"/>
      <c r="AA15" s="470">
        <f>AA13+AA14</f>
        <v>34.590000000000003</v>
      </c>
      <c r="AB15" s="471"/>
      <c r="AC15" s="472">
        <f>AC13+AC14</f>
        <v>71.265145488049399</v>
      </c>
      <c r="AD15" s="473"/>
      <c r="AE15" s="474">
        <f>AE13+AE14</f>
        <v>794.45</v>
      </c>
      <c r="AF15" s="419"/>
      <c r="AG15" s="419">
        <f>AG13+AG14</f>
        <v>1549.67051427046</v>
      </c>
      <c r="AH15" s="260"/>
      <c r="AI15" s="8">
        <f>Y15+AC15+AG15</f>
        <v>1838.14066598252</v>
      </c>
    </row>
    <row r="16" spans="1:35" ht="20.100000000000001" customHeight="1" thickTop="1">
      <c r="A16" s="328" t="s">
        <v>186</v>
      </c>
      <c r="B16" s="295" t="s">
        <v>260</v>
      </c>
      <c r="C16" s="298">
        <f>G16+L16+Q16</f>
        <v>0</v>
      </c>
      <c r="D16" s="298">
        <f t="shared" si="1"/>
        <v>0</v>
      </c>
      <c r="E16" s="298">
        <f>J16+O16+T16</f>
        <v>0</v>
      </c>
      <c r="F16" s="306">
        <f t="shared" si="2"/>
        <v>0</v>
      </c>
      <c r="G16" s="298"/>
      <c r="H16" s="298">
        <f t="shared" si="3"/>
        <v>0</v>
      </c>
      <c r="I16" s="255">
        <f>I59</f>
        <v>1.9505999999999999</v>
      </c>
      <c r="J16" s="298">
        <f>G16*I16</f>
        <v>0</v>
      </c>
      <c r="K16" s="306">
        <f t="shared" si="4"/>
        <v>0</v>
      </c>
      <c r="L16" s="298"/>
      <c r="M16" s="298">
        <f t="shared" si="5"/>
        <v>0</v>
      </c>
      <c r="N16" s="255">
        <f>N59</f>
        <v>2.0602999999999998</v>
      </c>
      <c r="O16" s="298">
        <f>L16*N16</f>
        <v>0</v>
      </c>
      <c r="P16" s="306">
        <f t="shared" si="6"/>
        <v>0</v>
      </c>
      <c r="Q16" s="298"/>
      <c r="R16" s="298">
        <f t="shared" si="7"/>
        <v>0</v>
      </c>
      <c r="S16" s="255">
        <f>S59</f>
        <v>2.0602999999999998</v>
      </c>
      <c r="T16" s="298">
        <f>Q16*S16</f>
        <v>0</v>
      </c>
      <c r="U16" s="306">
        <f t="shared" si="8"/>
        <v>0</v>
      </c>
      <c r="V16" s="132" t="s">
        <v>322</v>
      </c>
      <c r="W16" s="435"/>
      <c r="X16" s="435"/>
      <c r="Y16" s="435">
        <f>Y15/W15</f>
        <v>2.0603775965093201</v>
      </c>
      <c r="Z16" s="435"/>
      <c r="AA16" s="435"/>
      <c r="AB16" s="435"/>
      <c r="AC16" s="435">
        <f>AC15/AA15</f>
        <v>2.0602817429329101</v>
      </c>
      <c r="AD16" s="435"/>
      <c r="AE16" s="435"/>
      <c r="AF16" s="435"/>
      <c r="AG16" s="435">
        <f>AG15/AE15</f>
        <v>1.9506205730637001</v>
      </c>
      <c r="AH16" s="435"/>
    </row>
    <row r="17" spans="1:30" ht="20.100000000000001" customHeight="1">
      <c r="A17" s="328" t="s">
        <v>186</v>
      </c>
      <c r="B17" s="295" t="s">
        <v>261</v>
      </c>
      <c r="C17" s="298">
        <f>G17+L17+Q17</f>
        <v>934.46</v>
      </c>
      <c r="D17" s="298">
        <f t="shared" si="1"/>
        <v>3.87</v>
      </c>
      <c r="E17" s="298">
        <f>J17+O17+T17</f>
        <v>1838.11</v>
      </c>
      <c r="F17" s="306">
        <f t="shared" si="2"/>
        <v>7.61</v>
      </c>
      <c r="G17" s="298">
        <v>794.45</v>
      </c>
      <c r="H17" s="298">
        <f t="shared" si="3"/>
        <v>3.87</v>
      </c>
      <c r="I17" s="255">
        <f>I60</f>
        <v>1.9505999999999999</v>
      </c>
      <c r="J17" s="298">
        <f>G17*I17</f>
        <v>1549.65</v>
      </c>
      <c r="K17" s="306">
        <f t="shared" si="4"/>
        <v>7.55</v>
      </c>
      <c r="L17" s="298">
        <v>105.42</v>
      </c>
      <c r="M17" s="298">
        <f t="shared" si="5"/>
        <v>3.87</v>
      </c>
      <c r="N17" s="255">
        <f>N60</f>
        <v>2.0602999999999998</v>
      </c>
      <c r="O17" s="298">
        <f>L17*N17</f>
        <v>217.2</v>
      </c>
      <c r="P17" s="306">
        <f t="shared" si="6"/>
        <v>7.97</v>
      </c>
      <c r="Q17" s="298">
        <v>34.590000000000003</v>
      </c>
      <c r="R17" s="298">
        <f t="shared" si="7"/>
        <v>3.87</v>
      </c>
      <c r="S17" s="255">
        <f>S60</f>
        <v>2.0602</v>
      </c>
      <c r="T17" s="298">
        <f>Q17*S17</f>
        <v>71.260000000000005</v>
      </c>
      <c r="U17" s="306">
        <f t="shared" si="8"/>
        <v>7.97</v>
      </c>
      <c r="V17" s="6"/>
      <c r="W17" s="6"/>
      <c r="X17" s="6"/>
      <c r="Y17" s="6"/>
      <c r="Z17" s="6"/>
      <c r="AA17" s="6"/>
      <c r="AB17" s="6"/>
      <c r="AC17" s="249"/>
      <c r="AD17" s="249"/>
    </row>
    <row r="18" spans="1:30" ht="40.5" customHeight="1">
      <c r="A18" s="328" t="s">
        <v>34</v>
      </c>
      <c r="B18" s="329" t="s">
        <v>79</v>
      </c>
      <c r="C18" s="298">
        <f t="shared" si="0"/>
        <v>0</v>
      </c>
      <c r="D18" s="298">
        <f t="shared" si="1"/>
        <v>0</v>
      </c>
      <c r="E18" s="298">
        <f t="shared" si="9"/>
        <v>0</v>
      </c>
      <c r="F18" s="306">
        <f t="shared" si="2"/>
        <v>0</v>
      </c>
      <c r="G18" s="298">
        <v>0</v>
      </c>
      <c r="H18" s="298">
        <f t="shared" si="3"/>
        <v>0</v>
      </c>
      <c r="I18" s="255">
        <f>IF(G18=0,0,1)</f>
        <v>0</v>
      </c>
      <c r="J18" s="298">
        <f>G18*I18</f>
        <v>0</v>
      </c>
      <c r="K18" s="306">
        <f t="shared" si="4"/>
        <v>0</v>
      </c>
      <c r="L18" s="298"/>
      <c r="M18" s="298">
        <f t="shared" si="5"/>
        <v>0</v>
      </c>
      <c r="N18" s="255">
        <f>IF(L18=0,0,1)</f>
        <v>0</v>
      </c>
      <c r="O18" s="298">
        <f>L18*N18</f>
        <v>0</v>
      </c>
      <c r="P18" s="306">
        <f t="shared" si="6"/>
        <v>0</v>
      </c>
      <c r="Q18" s="298">
        <v>0</v>
      </c>
      <c r="R18" s="298">
        <f t="shared" si="7"/>
        <v>0</v>
      </c>
      <c r="S18" s="255">
        <f>IF(Q18=0,0,1)</f>
        <v>0</v>
      </c>
      <c r="T18" s="298">
        <f>Q18*S18</f>
        <v>0</v>
      </c>
      <c r="U18" s="306">
        <f t="shared" si="8"/>
        <v>0</v>
      </c>
      <c r="V18" s="416"/>
      <c r="W18" s="451" t="s">
        <v>377</v>
      </c>
      <c r="X18" s="424"/>
      <c r="Y18" s="424"/>
      <c r="Z18" s="424"/>
      <c r="AA18" s="424"/>
      <c r="AB18" s="424"/>
      <c r="AC18" s="249"/>
      <c r="AD18" s="249"/>
    </row>
    <row r="19" spans="1:30" ht="20.100000000000001" customHeight="1" thickBot="1">
      <c r="A19" s="328" t="s">
        <v>35</v>
      </c>
      <c r="B19" s="329" t="s">
        <v>37</v>
      </c>
      <c r="C19" s="298">
        <f t="shared" si="0"/>
        <v>11.56</v>
      </c>
      <c r="D19" s="298">
        <f t="shared" si="1"/>
        <v>0.05</v>
      </c>
      <c r="E19" s="298">
        <f t="shared" si="9"/>
        <v>11.56</v>
      </c>
      <c r="F19" s="306">
        <f t="shared" si="2"/>
        <v>0.05</v>
      </c>
      <c r="G19" s="298">
        <v>9.83</v>
      </c>
      <c r="H19" s="298">
        <f t="shared" si="3"/>
        <v>0.05</v>
      </c>
      <c r="I19" s="255">
        <f>IF(G19=0,0,1)</f>
        <v>1</v>
      </c>
      <c r="J19" s="298">
        <f>G19*I19</f>
        <v>9.83</v>
      </c>
      <c r="K19" s="306">
        <f t="shared" si="4"/>
        <v>0.05</v>
      </c>
      <c r="L19" s="298">
        <v>1.3</v>
      </c>
      <c r="M19" s="298">
        <f t="shared" si="5"/>
        <v>0.05</v>
      </c>
      <c r="N19" s="255">
        <f>IF(L19=0,0,1)</f>
        <v>1</v>
      </c>
      <c r="O19" s="298">
        <f>L19*N19</f>
        <v>1.3</v>
      </c>
      <c r="P19" s="306">
        <f t="shared" si="6"/>
        <v>0.05</v>
      </c>
      <c r="Q19" s="298">
        <v>0.43</v>
      </c>
      <c r="R19" s="298">
        <f t="shared" si="7"/>
        <v>0.05</v>
      </c>
      <c r="S19" s="255">
        <f>IF(Q19=0,0,1)</f>
        <v>1</v>
      </c>
      <c r="T19" s="298">
        <f>Q19*S19</f>
        <v>0.43</v>
      </c>
      <c r="U19" s="306">
        <f t="shared" si="8"/>
        <v>0.05</v>
      </c>
      <c r="V19" s="416"/>
      <c r="W19" s="597"/>
      <c r="X19" s="598"/>
      <c r="Y19" s="598" t="s">
        <v>308</v>
      </c>
      <c r="Z19" s="598" t="s">
        <v>309</v>
      </c>
      <c r="AA19" s="598" t="s">
        <v>336</v>
      </c>
      <c r="AB19" s="598" t="s">
        <v>314</v>
      </c>
      <c r="AC19" s="249"/>
      <c r="AD19" s="249"/>
    </row>
    <row r="20" spans="1:30" ht="21.75" customHeight="1">
      <c r="A20" s="328" t="s">
        <v>36</v>
      </c>
      <c r="B20" s="329" t="s">
        <v>39</v>
      </c>
      <c r="C20" s="298">
        <f t="shared" si="0"/>
        <v>910.61</v>
      </c>
      <c r="D20" s="298">
        <f t="shared" si="1"/>
        <v>3.77</v>
      </c>
      <c r="E20" s="298">
        <f t="shared" si="9"/>
        <v>910.61</v>
      </c>
      <c r="F20" s="306">
        <f t="shared" si="2"/>
        <v>3.77</v>
      </c>
      <c r="G20" s="298">
        <v>774.17</v>
      </c>
      <c r="H20" s="298">
        <f t="shared" si="3"/>
        <v>3.77</v>
      </c>
      <c r="I20" s="255">
        <f>IF(G20=0,0,1)</f>
        <v>1</v>
      </c>
      <c r="J20" s="298">
        <f>G20*I20</f>
        <v>774.17</v>
      </c>
      <c r="K20" s="306">
        <f t="shared" si="4"/>
        <v>3.77</v>
      </c>
      <c r="L20" s="298">
        <v>102.73</v>
      </c>
      <c r="M20" s="298">
        <f t="shared" si="5"/>
        <v>3.77</v>
      </c>
      <c r="N20" s="255">
        <f>IF(L20=0,0,1)</f>
        <v>1</v>
      </c>
      <c r="O20" s="298">
        <f>L20*N20</f>
        <v>102.73</v>
      </c>
      <c r="P20" s="306">
        <f t="shared" si="6"/>
        <v>3.77</v>
      </c>
      <c r="Q20" s="298">
        <v>33.71</v>
      </c>
      <c r="R20" s="298">
        <f t="shared" si="7"/>
        <v>3.77</v>
      </c>
      <c r="S20" s="255">
        <f>IF(Q20=0,0,1)</f>
        <v>1</v>
      </c>
      <c r="T20" s="298">
        <f>Q20*S20</f>
        <v>33.71</v>
      </c>
      <c r="U20" s="306">
        <f t="shared" si="8"/>
        <v>3.77</v>
      </c>
      <c r="V20" s="416"/>
      <c r="W20" s="1162" t="s">
        <v>335</v>
      </c>
      <c r="X20" s="601" t="s">
        <v>337</v>
      </c>
      <c r="Y20" s="602">
        <f>Y22/1.22</f>
        <v>5497.1760529000003</v>
      </c>
      <c r="Z20" s="602">
        <f>Z22/1.22</f>
        <v>729.46551030000001</v>
      </c>
      <c r="AA20" s="602">
        <f>AA22/1.22</f>
        <v>239.3382484</v>
      </c>
      <c r="AB20" s="603">
        <f>SUM(Y20:AA20)</f>
        <v>6465.9798116000002</v>
      </c>
      <c r="AC20" s="8"/>
      <c r="AD20" s="8"/>
    </row>
    <row r="21" spans="1:30" s="8" customFormat="1" ht="33" customHeight="1">
      <c r="A21" s="328" t="s">
        <v>40</v>
      </c>
      <c r="B21" s="325" t="s">
        <v>342</v>
      </c>
      <c r="C21" s="298">
        <f>G21+L21+Q21</f>
        <v>6122.51</v>
      </c>
      <c r="D21" s="298">
        <f t="shared" si="1"/>
        <v>25.35</v>
      </c>
      <c r="E21" s="298">
        <f>J21+O21+T21</f>
        <v>7888.5</v>
      </c>
      <c r="F21" s="306">
        <f t="shared" si="2"/>
        <v>32.67</v>
      </c>
      <c r="G21" s="298">
        <f>G22+G23</f>
        <v>5205.17</v>
      </c>
      <c r="H21" s="298">
        <f t="shared" si="3"/>
        <v>25.35</v>
      </c>
      <c r="I21" s="255">
        <f>$I$61</f>
        <v>1.2884</v>
      </c>
      <c r="J21" s="298">
        <f>J22+J23</f>
        <v>6706.56</v>
      </c>
      <c r="K21" s="306">
        <f t="shared" si="4"/>
        <v>32.67</v>
      </c>
      <c r="L21" s="298">
        <f>L22+L23</f>
        <v>690.71</v>
      </c>
      <c r="M21" s="298">
        <f t="shared" si="5"/>
        <v>25.35</v>
      </c>
      <c r="N21" s="255">
        <f>$N$61</f>
        <v>1.2884</v>
      </c>
      <c r="O21" s="298">
        <f>O22+O23</f>
        <v>889.95</v>
      </c>
      <c r="P21" s="306">
        <f t="shared" si="6"/>
        <v>32.67</v>
      </c>
      <c r="Q21" s="298">
        <f>Q22+Q23</f>
        <v>226.63</v>
      </c>
      <c r="R21" s="298">
        <f t="shared" si="7"/>
        <v>25.35</v>
      </c>
      <c r="S21" s="255">
        <f>$S$61</f>
        <v>1.2884</v>
      </c>
      <c r="T21" s="298">
        <f>T22+T23</f>
        <v>291.99</v>
      </c>
      <c r="U21" s="306">
        <f t="shared" si="8"/>
        <v>32.659999999999997</v>
      </c>
      <c r="V21" s="57"/>
      <c r="W21" s="1163"/>
      <c r="X21" s="588" t="s">
        <v>338</v>
      </c>
      <c r="Y21" s="456">
        <f>Y22-Y20</f>
        <v>1209.3787316</v>
      </c>
      <c r="Z21" s="456">
        <f>Z22-Z20</f>
        <v>160.48241229999999</v>
      </c>
      <c r="AA21" s="456">
        <f>AA22-AA20</f>
        <v>52.654414600000003</v>
      </c>
      <c r="AB21" s="604">
        <f t="shared" ref="AB21:AB31" si="10">SUM(Y21:AA21)</f>
        <v>1422.5155585</v>
      </c>
    </row>
    <row r="22" spans="1:30" s="8" customFormat="1" ht="20.100000000000001" customHeight="1" thickBot="1">
      <c r="A22" s="328" t="s">
        <v>343</v>
      </c>
      <c r="B22" s="458" t="s">
        <v>53</v>
      </c>
      <c r="C22" s="298">
        <f t="shared" si="0"/>
        <v>4467.03</v>
      </c>
      <c r="D22" s="298">
        <f t="shared" si="1"/>
        <v>18.5</v>
      </c>
      <c r="E22" s="298">
        <f t="shared" si="9"/>
        <v>6465.99</v>
      </c>
      <c r="F22" s="306">
        <f t="shared" si="2"/>
        <v>26.78</v>
      </c>
      <c r="G22" s="298">
        <f>3797.72967636591</f>
        <v>3797.73</v>
      </c>
      <c r="H22" s="298">
        <f t="shared" si="3"/>
        <v>18.5</v>
      </c>
      <c r="I22" s="255">
        <f>$I$61</f>
        <v>1.2884</v>
      </c>
      <c r="J22" s="298">
        <f>Y20</f>
        <v>5497.18</v>
      </c>
      <c r="K22" s="306">
        <f t="shared" si="4"/>
        <v>26.78</v>
      </c>
      <c r="L22" s="298">
        <v>503.95</v>
      </c>
      <c r="M22" s="298">
        <f t="shared" si="5"/>
        <v>18.5</v>
      </c>
      <c r="N22" s="255">
        <f>$N$61</f>
        <v>1.2884</v>
      </c>
      <c r="O22" s="298">
        <f>Z20</f>
        <v>729.47</v>
      </c>
      <c r="P22" s="306">
        <f t="shared" si="6"/>
        <v>26.78</v>
      </c>
      <c r="Q22" s="298">
        <v>165.35</v>
      </c>
      <c r="R22" s="298">
        <f t="shared" si="7"/>
        <v>18.5</v>
      </c>
      <c r="S22" s="255">
        <f>$S$61</f>
        <v>1.2884</v>
      </c>
      <c r="T22" s="298">
        <f>AA20</f>
        <v>239.34</v>
      </c>
      <c r="U22" s="306">
        <f t="shared" si="8"/>
        <v>26.77</v>
      </c>
      <c r="V22" s="57"/>
      <c r="W22" s="1164"/>
      <c r="X22" s="605" t="s">
        <v>339</v>
      </c>
      <c r="Y22" s="606">
        <v>6706.5547845000001</v>
      </c>
      <c r="Z22" s="607">
        <v>889.94792259999997</v>
      </c>
      <c r="AA22" s="607">
        <v>291.99266299999999</v>
      </c>
      <c r="AB22" s="608">
        <f t="shared" si="10"/>
        <v>7888.4953701000004</v>
      </c>
    </row>
    <row r="23" spans="1:30" ht="20.100000000000001" customHeight="1">
      <c r="A23" s="328" t="s">
        <v>344</v>
      </c>
      <c r="B23" s="458" t="s">
        <v>45</v>
      </c>
      <c r="C23" s="298">
        <f>G23+L23+Q23</f>
        <v>1655.48</v>
      </c>
      <c r="D23" s="298">
        <f t="shared" si="1"/>
        <v>6.86</v>
      </c>
      <c r="E23" s="298">
        <f>J23+O23+T23</f>
        <v>1422.51</v>
      </c>
      <c r="F23" s="306">
        <f t="shared" si="2"/>
        <v>5.89</v>
      </c>
      <c r="G23" s="298">
        <v>1407.44</v>
      </c>
      <c r="H23" s="298">
        <f t="shared" si="3"/>
        <v>6.86</v>
      </c>
      <c r="I23" s="255">
        <f>$I$61</f>
        <v>1.2884</v>
      </c>
      <c r="J23" s="298">
        <f>Y21</f>
        <v>1209.3800000000001</v>
      </c>
      <c r="K23" s="306">
        <f t="shared" si="4"/>
        <v>5.89</v>
      </c>
      <c r="L23" s="298">
        <v>186.76</v>
      </c>
      <c r="M23" s="298">
        <f t="shared" si="5"/>
        <v>6.86</v>
      </c>
      <c r="N23" s="255">
        <f>$N$61</f>
        <v>1.2884</v>
      </c>
      <c r="O23" s="298">
        <f>Z21</f>
        <v>160.47999999999999</v>
      </c>
      <c r="P23" s="306">
        <f t="shared" si="6"/>
        <v>5.89</v>
      </c>
      <c r="Q23" s="298">
        <v>61.28</v>
      </c>
      <c r="R23" s="298">
        <f t="shared" si="7"/>
        <v>6.86</v>
      </c>
      <c r="S23" s="219">
        <f>$S$61</f>
        <v>1.2884</v>
      </c>
      <c r="T23" s="298">
        <f>AA21</f>
        <v>52.65</v>
      </c>
      <c r="U23" s="306">
        <f t="shared" si="8"/>
        <v>5.89</v>
      </c>
      <c r="V23" s="230"/>
      <c r="W23" s="1144" t="s">
        <v>340</v>
      </c>
      <c r="X23" s="599" t="s">
        <v>337</v>
      </c>
      <c r="Y23" s="600">
        <f>Y25/1.22</f>
        <v>17.693955299999999</v>
      </c>
      <c r="Z23" s="600">
        <f>Z25/1.22</f>
        <v>2.3479565</v>
      </c>
      <c r="AA23" s="600">
        <f>AA25/1.22</f>
        <v>0.77036649999999995</v>
      </c>
      <c r="AB23" s="600">
        <f t="shared" si="10"/>
        <v>20.812278299999999</v>
      </c>
    </row>
    <row r="24" spans="1:30" ht="20.100000000000001" customHeight="1">
      <c r="A24" s="327" t="s">
        <v>42</v>
      </c>
      <c r="B24" s="325" t="s">
        <v>146</v>
      </c>
      <c r="C24" s="296">
        <f t="shared" si="0"/>
        <v>563.41</v>
      </c>
      <c r="D24" s="296">
        <f t="shared" si="1"/>
        <v>2.33</v>
      </c>
      <c r="E24" s="296">
        <f t="shared" si="9"/>
        <v>563.41</v>
      </c>
      <c r="F24" s="305">
        <f t="shared" si="2"/>
        <v>2.33</v>
      </c>
      <c r="G24" s="296">
        <f>G25+G26</f>
        <v>478.99</v>
      </c>
      <c r="H24" s="296">
        <f t="shared" si="3"/>
        <v>2.33</v>
      </c>
      <c r="I24" s="219">
        <f>J24/G24</f>
        <v>1</v>
      </c>
      <c r="J24" s="296">
        <f>J25+J26</f>
        <v>478.99</v>
      </c>
      <c r="K24" s="305">
        <f t="shared" si="4"/>
        <v>2.33</v>
      </c>
      <c r="L24" s="296">
        <f>L25+L26</f>
        <v>63.56</v>
      </c>
      <c r="M24" s="296">
        <f t="shared" si="5"/>
        <v>2.33</v>
      </c>
      <c r="N24" s="219">
        <f>O24/L24</f>
        <v>1</v>
      </c>
      <c r="O24" s="296">
        <f>O25+O26</f>
        <v>63.56</v>
      </c>
      <c r="P24" s="305">
        <f t="shared" si="6"/>
        <v>2.33</v>
      </c>
      <c r="Q24" s="296">
        <f>Q25+Q26</f>
        <v>20.86</v>
      </c>
      <c r="R24" s="296">
        <f t="shared" si="7"/>
        <v>2.33</v>
      </c>
      <c r="S24" s="219">
        <f>T24/Q24</f>
        <v>1</v>
      </c>
      <c r="T24" s="296">
        <f>T25+T26</f>
        <v>20.86</v>
      </c>
      <c r="U24" s="305">
        <f t="shared" si="8"/>
        <v>2.33</v>
      </c>
      <c r="V24" s="232"/>
      <c r="W24" s="1089"/>
      <c r="X24" s="588" t="s">
        <v>338</v>
      </c>
      <c r="Y24" s="456">
        <f>Y25-Y23</f>
        <v>3.8926702</v>
      </c>
      <c r="Z24" s="456">
        <f>Z25-Z23</f>
        <v>0.51655039999999997</v>
      </c>
      <c r="AA24" s="456">
        <f>AA25-AA23</f>
        <v>0.16948060000000001</v>
      </c>
      <c r="AB24" s="589">
        <f t="shared" si="10"/>
        <v>4.5787012000000002</v>
      </c>
    </row>
    <row r="25" spans="1:30" ht="20.100000000000001" customHeight="1" thickBot="1">
      <c r="A25" s="328" t="s">
        <v>44</v>
      </c>
      <c r="B25" s="248" t="s">
        <v>47</v>
      </c>
      <c r="C25" s="298">
        <f t="shared" si="0"/>
        <v>465.74</v>
      </c>
      <c r="D25" s="298">
        <f t="shared" si="1"/>
        <v>1.93</v>
      </c>
      <c r="E25" s="298">
        <f t="shared" si="9"/>
        <v>465.74</v>
      </c>
      <c r="F25" s="306">
        <f t="shared" si="2"/>
        <v>1.93</v>
      </c>
      <c r="G25" s="298">
        <v>395.96</v>
      </c>
      <c r="H25" s="298">
        <f t="shared" si="3"/>
        <v>1.93</v>
      </c>
      <c r="I25" s="255">
        <f>IF(G25=0,0,1)</f>
        <v>1</v>
      </c>
      <c r="J25" s="298">
        <f>G25*I25</f>
        <v>395.96</v>
      </c>
      <c r="K25" s="306">
        <f t="shared" si="4"/>
        <v>1.93</v>
      </c>
      <c r="L25" s="298">
        <v>52.54</v>
      </c>
      <c r="M25" s="298">
        <f t="shared" si="5"/>
        <v>1.93</v>
      </c>
      <c r="N25" s="255">
        <f>IF(L25=0,0,1)</f>
        <v>1</v>
      </c>
      <c r="O25" s="298">
        <f>L25*N25</f>
        <v>52.54</v>
      </c>
      <c r="P25" s="306">
        <f t="shared" si="6"/>
        <v>1.93</v>
      </c>
      <c r="Q25" s="298">
        <v>17.239999999999998</v>
      </c>
      <c r="R25" s="298">
        <f t="shared" si="7"/>
        <v>1.93</v>
      </c>
      <c r="S25" s="255">
        <f>IF(Q25=0,0,1)</f>
        <v>1</v>
      </c>
      <c r="T25" s="298">
        <f>Q25*S25</f>
        <v>17.239999999999998</v>
      </c>
      <c r="U25" s="306">
        <f t="shared" si="8"/>
        <v>1.93</v>
      </c>
      <c r="V25" s="230"/>
      <c r="W25" s="1145"/>
      <c r="X25" s="609" t="s">
        <v>339</v>
      </c>
      <c r="Y25" s="610">
        <v>21.5866255</v>
      </c>
      <c r="Z25" s="610">
        <v>2.8645068999999999</v>
      </c>
      <c r="AA25" s="610">
        <v>0.93984710000000005</v>
      </c>
      <c r="AB25" s="611">
        <f t="shared" si="10"/>
        <v>25.3909795</v>
      </c>
    </row>
    <row r="26" spans="1:30" s="8" customFormat="1" ht="20.100000000000001" customHeight="1">
      <c r="A26" s="328" t="s">
        <v>46</v>
      </c>
      <c r="B26" s="329" t="s">
        <v>49</v>
      </c>
      <c r="C26" s="298">
        <f t="shared" si="0"/>
        <v>97.67</v>
      </c>
      <c r="D26" s="298">
        <f t="shared" si="1"/>
        <v>0.4</v>
      </c>
      <c r="E26" s="298">
        <f t="shared" si="9"/>
        <v>97.67</v>
      </c>
      <c r="F26" s="306">
        <f t="shared" si="2"/>
        <v>0.4</v>
      </c>
      <c r="G26" s="298">
        <v>83.03</v>
      </c>
      <c r="H26" s="298">
        <f t="shared" si="3"/>
        <v>0.4</v>
      </c>
      <c r="I26" s="255">
        <f>IF(G26=0,0,1)</f>
        <v>1</v>
      </c>
      <c r="J26" s="298">
        <f>G26*I26</f>
        <v>83.03</v>
      </c>
      <c r="K26" s="306">
        <f t="shared" si="4"/>
        <v>0.4</v>
      </c>
      <c r="L26" s="298">
        <v>11.02</v>
      </c>
      <c r="M26" s="298">
        <f t="shared" si="5"/>
        <v>0.4</v>
      </c>
      <c r="N26" s="255">
        <f>IF(L26=0,0,1)</f>
        <v>1</v>
      </c>
      <c r="O26" s="298">
        <f>L26*N26</f>
        <v>11.02</v>
      </c>
      <c r="P26" s="306">
        <f t="shared" si="6"/>
        <v>0.4</v>
      </c>
      <c r="Q26" s="298">
        <v>3.62</v>
      </c>
      <c r="R26" s="298">
        <f t="shared" si="7"/>
        <v>0.4</v>
      </c>
      <c r="S26" s="255">
        <f>IF(Q26=0,0,1)</f>
        <v>1</v>
      </c>
      <c r="T26" s="298">
        <f>Q26*S26</f>
        <v>3.62</v>
      </c>
      <c r="U26" s="306">
        <f t="shared" si="8"/>
        <v>0.4</v>
      </c>
      <c r="V26" s="57"/>
      <c r="W26" s="1151" t="s">
        <v>341</v>
      </c>
      <c r="X26" s="601" t="s">
        <v>337</v>
      </c>
      <c r="Y26" s="602">
        <f>Y28/1.22</f>
        <v>204.1635972</v>
      </c>
      <c r="Z26" s="602">
        <f>Z28/1.22</f>
        <v>27.092147099999998</v>
      </c>
      <c r="AA26" s="602">
        <f>AA28/1.22</f>
        <v>8.8889563000000003</v>
      </c>
      <c r="AB26" s="603">
        <f t="shared" si="10"/>
        <v>240.14470059999999</v>
      </c>
    </row>
    <row r="27" spans="1:30" ht="20.100000000000001" customHeight="1">
      <c r="A27" s="330" t="s">
        <v>50</v>
      </c>
      <c r="B27" s="331" t="s">
        <v>148</v>
      </c>
      <c r="C27" s="305">
        <f t="shared" si="0"/>
        <v>22.35</v>
      </c>
      <c r="D27" s="305">
        <f t="shared" si="1"/>
        <v>0.09</v>
      </c>
      <c r="E27" s="305">
        <f t="shared" si="9"/>
        <v>28.04</v>
      </c>
      <c r="F27" s="305">
        <f t="shared" si="2"/>
        <v>0.12</v>
      </c>
      <c r="G27" s="305">
        <f>G29+G30+G31</f>
        <v>19</v>
      </c>
      <c r="H27" s="305">
        <f t="shared" si="3"/>
        <v>0.09</v>
      </c>
      <c r="I27" s="316">
        <f>J27/G27</f>
        <v>1.2542</v>
      </c>
      <c r="J27" s="305">
        <f>J29+J30+J31</f>
        <v>23.83</v>
      </c>
      <c r="K27" s="305">
        <f t="shared" si="4"/>
        <v>0.12</v>
      </c>
      <c r="L27" s="305">
        <f>L29+L30+L31</f>
        <v>2.52</v>
      </c>
      <c r="M27" s="305">
        <f t="shared" si="5"/>
        <v>0.09</v>
      </c>
      <c r="N27" s="316">
        <f>O27/L27</f>
        <v>1.2579</v>
      </c>
      <c r="O27" s="305">
        <f>O29+O30+O31</f>
        <v>3.17</v>
      </c>
      <c r="P27" s="305">
        <f t="shared" si="6"/>
        <v>0.12</v>
      </c>
      <c r="Q27" s="305">
        <f>Q29+Q30+Q31</f>
        <v>0.83</v>
      </c>
      <c r="R27" s="305">
        <f t="shared" si="7"/>
        <v>0.09</v>
      </c>
      <c r="S27" s="316">
        <f>T27/Q27</f>
        <v>1.2529999999999999</v>
      </c>
      <c r="T27" s="305">
        <f>T29+T30+T31</f>
        <v>1.04</v>
      </c>
      <c r="U27" s="305">
        <f t="shared" si="8"/>
        <v>0.12</v>
      </c>
      <c r="V27" s="230"/>
      <c r="W27" s="1152"/>
      <c r="X27" s="588" t="s">
        <v>338</v>
      </c>
      <c r="Y27" s="456">
        <f>Y28-Y26</f>
        <v>44.915991400000003</v>
      </c>
      <c r="Z27" s="456">
        <f>Z28-Z26</f>
        <v>5.9602724</v>
      </c>
      <c r="AA27" s="456">
        <f>AA28-AA26</f>
        <v>1.9555704</v>
      </c>
      <c r="AB27" s="604">
        <f t="shared" si="10"/>
        <v>52.831834200000003</v>
      </c>
    </row>
    <row r="28" spans="1:30" ht="33.75" customHeight="1" thickBot="1">
      <c r="A28" s="374" t="s">
        <v>52</v>
      </c>
      <c r="B28" s="329" t="s">
        <v>345</v>
      </c>
      <c r="C28" s="298">
        <f>C29+C30</f>
        <v>19.7</v>
      </c>
      <c r="D28" s="298">
        <f t="shared" si="1"/>
        <v>0.08</v>
      </c>
      <c r="E28" s="298">
        <f>E29+E30</f>
        <v>25.39</v>
      </c>
      <c r="F28" s="306">
        <f t="shared" si="2"/>
        <v>0.11</v>
      </c>
      <c r="G28" s="298">
        <f>G29+G30</f>
        <v>16.75</v>
      </c>
      <c r="H28" s="298">
        <f t="shared" si="3"/>
        <v>0.08</v>
      </c>
      <c r="I28" s="255">
        <f>$I$61</f>
        <v>1.2884</v>
      </c>
      <c r="J28" s="298">
        <f>J29+J30</f>
        <v>21.58</v>
      </c>
      <c r="K28" s="306">
        <f t="shared" si="4"/>
        <v>0.11</v>
      </c>
      <c r="L28" s="298">
        <f>L29+L30</f>
        <v>2.2200000000000002</v>
      </c>
      <c r="M28" s="298">
        <f t="shared" si="5"/>
        <v>0.08</v>
      </c>
      <c r="N28" s="255">
        <f>$N$61</f>
        <v>1.2884</v>
      </c>
      <c r="O28" s="298">
        <f>O29+O30</f>
        <v>2.87</v>
      </c>
      <c r="P28" s="306">
        <f t="shared" si="6"/>
        <v>0.11</v>
      </c>
      <c r="Q28" s="298">
        <f>Q29+Q30</f>
        <v>0.73</v>
      </c>
      <c r="R28" s="298">
        <f t="shared" si="7"/>
        <v>0.08</v>
      </c>
      <c r="S28" s="255">
        <f>$S$61</f>
        <v>1.2884</v>
      </c>
      <c r="T28" s="298">
        <f>T29+T30</f>
        <v>0.94</v>
      </c>
      <c r="U28" s="306">
        <f t="shared" si="8"/>
        <v>0.11</v>
      </c>
      <c r="V28" s="230"/>
      <c r="W28" s="1153"/>
      <c r="X28" s="605" t="s">
        <v>339</v>
      </c>
      <c r="Y28" s="606">
        <v>249.07958859999999</v>
      </c>
      <c r="Z28" s="606">
        <v>33.052419499999999</v>
      </c>
      <c r="AA28" s="606">
        <v>10.844526699999999</v>
      </c>
      <c r="AB28" s="608">
        <f t="shared" si="10"/>
        <v>292.97653480000002</v>
      </c>
    </row>
    <row r="29" spans="1:30" ht="20.100000000000001" customHeight="1">
      <c r="A29" s="328" t="s">
        <v>346</v>
      </c>
      <c r="B29" s="458" t="s">
        <v>53</v>
      </c>
      <c r="C29" s="298">
        <f t="shared" si="0"/>
        <v>14.37</v>
      </c>
      <c r="D29" s="298">
        <f t="shared" si="1"/>
        <v>0.06</v>
      </c>
      <c r="E29" s="298">
        <f t="shared" si="9"/>
        <v>20.81</v>
      </c>
      <c r="F29" s="306">
        <f t="shared" si="2"/>
        <v>0.09</v>
      </c>
      <c r="G29" s="298">
        <v>12.22</v>
      </c>
      <c r="H29" s="298">
        <f t="shared" si="3"/>
        <v>0.06</v>
      </c>
      <c r="I29" s="255">
        <f>$I$61</f>
        <v>1.2884</v>
      </c>
      <c r="J29" s="298">
        <f>Y23</f>
        <v>17.690000000000001</v>
      </c>
      <c r="K29" s="306">
        <f t="shared" si="4"/>
        <v>0.09</v>
      </c>
      <c r="L29" s="298">
        <v>1.62</v>
      </c>
      <c r="M29" s="298">
        <f t="shared" si="5"/>
        <v>0.06</v>
      </c>
      <c r="N29" s="255">
        <f>$N$61</f>
        <v>1.2884</v>
      </c>
      <c r="O29" s="298">
        <f>Z23</f>
        <v>2.35</v>
      </c>
      <c r="P29" s="306">
        <f t="shared" si="6"/>
        <v>0.09</v>
      </c>
      <c r="Q29" s="298">
        <v>0.53</v>
      </c>
      <c r="R29" s="298">
        <f t="shared" si="7"/>
        <v>0.06</v>
      </c>
      <c r="S29" s="255">
        <f>$S$61</f>
        <v>1.2884</v>
      </c>
      <c r="T29" s="298">
        <f>AA23</f>
        <v>0.77</v>
      </c>
      <c r="U29" s="306">
        <f t="shared" si="8"/>
        <v>0.09</v>
      </c>
      <c r="V29" s="230"/>
      <c r="W29" s="1144" t="s">
        <v>314</v>
      </c>
      <c r="X29" s="612" t="s">
        <v>337</v>
      </c>
      <c r="Y29" s="613">
        <f>Y20+Y23+Y26</f>
        <v>5719.0336053999999</v>
      </c>
      <c r="Z29" s="613">
        <f>Z20+Z23+Z26</f>
        <v>758.90561390000005</v>
      </c>
      <c r="AA29" s="613">
        <f>AA20+AA23+AA26</f>
        <v>248.99757120000001</v>
      </c>
      <c r="AB29" s="614">
        <f t="shared" si="10"/>
        <v>6726.9367904999999</v>
      </c>
    </row>
    <row r="30" spans="1:30" s="8" customFormat="1" ht="20.100000000000001" customHeight="1">
      <c r="A30" s="328" t="s">
        <v>347</v>
      </c>
      <c r="B30" s="458" t="s">
        <v>45</v>
      </c>
      <c r="C30" s="298">
        <f t="shared" si="0"/>
        <v>5.33</v>
      </c>
      <c r="D30" s="298">
        <f t="shared" si="1"/>
        <v>0.02</v>
      </c>
      <c r="E30" s="298">
        <f t="shared" si="9"/>
        <v>4.58</v>
      </c>
      <c r="F30" s="306">
        <f t="shared" si="2"/>
        <v>0.02</v>
      </c>
      <c r="G30" s="298">
        <v>4.53</v>
      </c>
      <c r="H30" s="298">
        <f t="shared" si="3"/>
        <v>0.02</v>
      </c>
      <c r="I30" s="255">
        <f>$I$61</f>
        <v>1.2884</v>
      </c>
      <c r="J30" s="298">
        <f>Y24</f>
        <v>3.89</v>
      </c>
      <c r="K30" s="306">
        <f t="shared" si="4"/>
        <v>0.02</v>
      </c>
      <c r="L30" s="298">
        <v>0.6</v>
      </c>
      <c r="M30" s="298">
        <f t="shared" si="5"/>
        <v>0.02</v>
      </c>
      <c r="N30" s="255">
        <f>$N$61</f>
        <v>1.2884</v>
      </c>
      <c r="O30" s="298">
        <f>Z24</f>
        <v>0.52</v>
      </c>
      <c r="P30" s="306">
        <f t="shared" si="6"/>
        <v>0.02</v>
      </c>
      <c r="Q30" s="298">
        <v>0.2</v>
      </c>
      <c r="R30" s="298">
        <f t="shared" si="7"/>
        <v>0.02</v>
      </c>
      <c r="S30" s="255">
        <f>$S$61</f>
        <v>1.2884</v>
      </c>
      <c r="T30" s="298">
        <f>AA24</f>
        <v>0.17</v>
      </c>
      <c r="U30" s="306">
        <f t="shared" si="8"/>
        <v>0.02</v>
      </c>
      <c r="V30" s="57"/>
      <c r="W30" s="1089"/>
      <c r="X30" s="452" t="s">
        <v>338</v>
      </c>
      <c r="Y30" s="456">
        <f t="shared" ref="Y30:AA31" si="11">Y21+Y24+Y27</f>
        <v>1258.1873932000001</v>
      </c>
      <c r="Z30" s="456">
        <f t="shared" si="11"/>
        <v>166.9592351</v>
      </c>
      <c r="AA30" s="456">
        <f t="shared" si="11"/>
        <v>54.779465600000002</v>
      </c>
      <c r="AB30" s="454">
        <f t="shared" si="10"/>
        <v>1479.9260939000001</v>
      </c>
    </row>
    <row r="31" spans="1:30" ht="20.100000000000001" customHeight="1">
      <c r="A31" s="328" t="s">
        <v>55</v>
      </c>
      <c r="B31" s="329" t="s">
        <v>56</v>
      </c>
      <c r="C31" s="298">
        <f t="shared" si="0"/>
        <v>2.65</v>
      </c>
      <c r="D31" s="298">
        <f t="shared" si="1"/>
        <v>0.01</v>
      </c>
      <c r="E31" s="298">
        <f t="shared" si="9"/>
        <v>2.65</v>
      </c>
      <c r="F31" s="306">
        <f t="shared" si="2"/>
        <v>0.01</v>
      </c>
      <c r="G31" s="298">
        <v>2.25</v>
      </c>
      <c r="H31" s="298">
        <f t="shared" si="3"/>
        <v>0.01</v>
      </c>
      <c r="I31" s="255">
        <f>IF(G31=0,0,1)</f>
        <v>1</v>
      </c>
      <c r="J31" s="298">
        <f>G31*I31</f>
        <v>2.25</v>
      </c>
      <c r="K31" s="306">
        <f t="shared" si="4"/>
        <v>0.01</v>
      </c>
      <c r="L31" s="298">
        <v>0.3</v>
      </c>
      <c r="M31" s="298">
        <f t="shared" si="5"/>
        <v>0.01</v>
      </c>
      <c r="N31" s="255">
        <f>IF(L31=0,0,1)</f>
        <v>1</v>
      </c>
      <c r="O31" s="298">
        <f>L31*N31</f>
        <v>0.3</v>
      </c>
      <c r="P31" s="306">
        <f t="shared" si="6"/>
        <v>0.01</v>
      </c>
      <c r="Q31" s="298">
        <v>0.1</v>
      </c>
      <c r="R31" s="298">
        <f t="shared" si="7"/>
        <v>0.01</v>
      </c>
      <c r="S31" s="255">
        <f>IF(Q31=0,0,1)</f>
        <v>1</v>
      </c>
      <c r="T31" s="298">
        <f>Q31*S31</f>
        <v>0.1</v>
      </c>
      <c r="U31" s="306">
        <f t="shared" si="8"/>
        <v>0.01</v>
      </c>
      <c r="V31" s="230"/>
      <c r="W31" s="1089"/>
      <c r="X31" s="453" t="s">
        <v>339</v>
      </c>
      <c r="Y31" s="455">
        <f t="shared" si="11"/>
        <v>6977.2209985999998</v>
      </c>
      <c r="Z31" s="455">
        <f t="shared" si="11"/>
        <v>925.86484900000005</v>
      </c>
      <c r="AA31" s="455">
        <f t="shared" si="11"/>
        <v>303.77703680000002</v>
      </c>
      <c r="AB31" s="454">
        <f t="shared" si="10"/>
        <v>8206.8628843999995</v>
      </c>
    </row>
    <row r="32" spans="1:30" ht="20.100000000000001" customHeight="1">
      <c r="A32" s="330">
        <v>2</v>
      </c>
      <c r="B32" s="331" t="s">
        <v>141</v>
      </c>
      <c r="C32" s="305">
        <f t="shared" si="0"/>
        <v>264.33999999999997</v>
      </c>
      <c r="D32" s="305">
        <f t="shared" si="1"/>
        <v>1.0900000000000001</v>
      </c>
      <c r="E32" s="305">
        <f t="shared" si="9"/>
        <v>329.92</v>
      </c>
      <c r="F32" s="305">
        <f t="shared" si="2"/>
        <v>1.37</v>
      </c>
      <c r="G32" s="305">
        <f>G34+G35+G36</f>
        <v>224.72</v>
      </c>
      <c r="H32" s="305">
        <f t="shared" si="3"/>
        <v>1.0900000000000001</v>
      </c>
      <c r="I32" s="316">
        <f>J32/G32</f>
        <v>1.2481</v>
      </c>
      <c r="J32" s="305">
        <f>J34+J35+J36</f>
        <v>280.48</v>
      </c>
      <c r="K32" s="305">
        <f t="shared" si="4"/>
        <v>1.37</v>
      </c>
      <c r="L32" s="305">
        <f>L34+L35+L36</f>
        <v>29.83</v>
      </c>
      <c r="M32" s="305">
        <f t="shared" si="5"/>
        <v>1.0900000000000001</v>
      </c>
      <c r="N32" s="316">
        <f>O32/L32</f>
        <v>1.2477</v>
      </c>
      <c r="O32" s="305">
        <f>O34+O35+O36</f>
        <v>37.22</v>
      </c>
      <c r="P32" s="305">
        <f t="shared" si="6"/>
        <v>1.37</v>
      </c>
      <c r="Q32" s="305">
        <f>Q34+Q35+Q36</f>
        <v>9.7899999999999991</v>
      </c>
      <c r="R32" s="305">
        <f t="shared" si="7"/>
        <v>1.1000000000000001</v>
      </c>
      <c r="S32" s="316">
        <f>T32/Q32</f>
        <v>1.2482</v>
      </c>
      <c r="T32" s="305">
        <f>T34+T35+T36</f>
        <v>12.22</v>
      </c>
      <c r="U32" s="305">
        <f t="shared" si="8"/>
        <v>1.37</v>
      </c>
      <c r="V32" s="230"/>
    </row>
    <row r="33" spans="1:22" ht="36" customHeight="1">
      <c r="A33" s="374" t="s">
        <v>59</v>
      </c>
      <c r="B33" s="329" t="s">
        <v>345</v>
      </c>
      <c r="C33" s="298">
        <f>C34+C35</f>
        <v>227.4</v>
      </c>
      <c r="D33" s="298">
        <f t="shared" si="1"/>
        <v>0.94</v>
      </c>
      <c r="E33" s="298">
        <f>E34+E35</f>
        <v>292.98</v>
      </c>
      <c r="F33" s="306">
        <f t="shared" si="2"/>
        <v>1.21</v>
      </c>
      <c r="G33" s="298">
        <f>G34+G35</f>
        <v>193.32</v>
      </c>
      <c r="H33" s="298">
        <f t="shared" si="3"/>
        <v>0.94</v>
      </c>
      <c r="I33" s="255">
        <f>$I$61</f>
        <v>1.2884</v>
      </c>
      <c r="J33" s="298">
        <f>J34+J35</f>
        <v>249.08</v>
      </c>
      <c r="K33" s="306">
        <f t="shared" si="4"/>
        <v>1.21</v>
      </c>
      <c r="L33" s="298">
        <f>L34+L35</f>
        <v>25.66</v>
      </c>
      <c r="M33" s="298">
        <f t="shared" si="5"/>
        <v>0.94</v>
      </c>
      <c r="N33" s="255">
        <f>$N$61</f>
        <v>1.2884</v>
      </c>
      <c r="O33" s="298">
        <f>O34+O35</f>
        <v>33.049999999999997</v>
      </c>
      <c r="P33" s="306">
        <f t="shared" si="6"/>
        <v>1.21</v>
      </c>
      <c r="Q33" s="298">
        <f>Q34+Q35</f>
        <v>8.42</v>
      </c>
      <c r="R33" s="298">
        <f t="shared" si="7"/>
        <v>0.94</v>
      </c>
      <c r="S33" s="255">
        <f>$S$61</f>
        <v>1.2884</v>
      </c>
      <c r="T33" s="298">
        <f>T34+T35</f>
        <v>10.85</v>
      </c>
      <c r="U33" s="306">
        <f t="shared" si="8"/>
        <v>1.21</v>
      </c>
      <c r="V33" s="230"/>
    </row>
    <row r="34" spans="1:22" s="8" customFormat="1" ht="20.100000000000001" customHeight="1">
      <c r="A34" s="328" t="s">
        <v>348</v>
      </c>
      <c r="B34" s="458" t="s">
        <v>53</v>
      </c>
      <c r="C34" s="298">
        <f t="shared" si="0"/>
        <v>165.91</v>
      </c>
      <c r="D34" s="298">
        <f t="shared" si="1"/>
        <v>0.69</v>
      </c>
      <c r="E34" s="298">
        <f t="shared" si="9"/>
        <v>240.14</v>
      </c>
      <c r="F34" s="306">
        <f t="shared" si="2"/>
        <v>0.99</v>
      </c>
      <c r="G34" s="298">
        <v>141.05000000000001</v>
      </c>
      <c r="H34" s="298">
        <f t="shared" si="3"/>
        <v>0.69</v>
      </c>
      <c r="I34" s="255">
        <f>$I$61</f>
        <v>1.2884</v>
      </c>
      <c r="J34" s="298">
        <f>Y26</f>
        <v>204.16</v>
      </c>
      <c r="K34" s="306">
        <f t="shared" si="4"/>
        <v>0.99</v>
      </c>
      <c r="L34" s="298">
        <v>18.72</v>
      </c>
      <c r="M34" s="298">
        <f t="shared" si="5"/>
        <v>0.69</v>
      </c>
      <c r="N34" s="255">
        <f>$N$61</f>
        <v>1.2884</v>
      </c>
      <c r="O34" s="298">
        <f>Z26</f>
        <v>27.09</v>
      </c>
      <c r="P34" s="306">
        <f t="shared" si="6"/>
        <v>0.99</v>
      </c>
      <c r="Q34" s="298">
        <v>6.14</v>
      </c>
      <c r="R34" s="298">
        <f t="shared" si="7"/>
        <v>0.69</v>
      </c>
      <c r="S34" s="255">
        <f>$S$61</f>
        <v>1.2884</v>
      </c>
      <c r="T34" s="298">
        <f>AA26</f>
        <v>8.89</v>
      </c>
      <c r="U34" s="306">
        <f t="shared" si="8"/>
        <v>0.99</v>
      </c>
      <c r="V34" s="57"/>
    </row>
    <row r="35" spans="1:22" s="8" customFormat="1" ht="20.100000000000001" customHeight="1">
      <c r="A35" s="328" t="s">
        <v>349</v>
      </c>
      <c r="B35" s="458" t="s">
        <v>45</v>
      </c>
      <c r="C35" s="298">
        <f t="shared" si="0"/>
        <v>61.49</v>
      </c>
      <c r="D35" s="298">
        <f t="shared" si="1"/>
        <v>0.25</v>
      </c>
      <c r="E35" s="298">
        <f t="shared" si="9"/>
        <v>52.84</v>
      </c>
      <c r="F35" s="306">
        <f t="shared" si="2"/>
        <v>0.22</v>
      </c>
      <c r="G35" s="298">
        <v>52.27</v>
      </c>
      <c r="H35" s="298">
        <f t="shared" si="3"/>
        <v>0.25</v>
      </c>
      <c r="I35" s="255">
        <f>$I$61</f>
        <v>1.2884</v>
      </c>
      <c r="J35" s="298">
        <f>Y27</f>
        <v>44.92</v>
      </c>
      <c r="K35" s="306">
        <f t="shared" si="4"/>
        <v>0.22</v>
      </c>
      <c r="L35" s="298">
        <v>6.94</v>
      </c>
      <c r="M35" s="298">
        <f t="shared" si="5"/>
        <v>0.25</v>
      </c>
      <c r="N35" s="255">
        <f>$N$61</f>
        <v>1.2884</v>
      </c>
      <c r="O35" s="298">
        <f>Z27</f>
        <v>5.96</v>
      </c>
      <c r="P35" s="306">
        <f t="shared" si="6"/>
        <v>0.22</v>
      </c>
      <c r="Q35" s="298">
        <v>2.2799999999999998</v>
      </c>
      <c r="R35" s="298">
        <f t="shared" si="7"/>
        <v>0.26</v>
      </c>
      <c r="S35" s="255">
        <f>$S$61</f>
        <v>1.2884</v>
      </c>
      <c r="T35" s="298">
        <f>AA27</f>
        <v>1.96</v>
      </c>
      <c r="U35" s="306">
        <f t="shared" si="8"/>
        <v>0.22</v>
      </c>
      <c r="V35" s="57"/>
    </row>
    <row r="36" spans="1:22" s="8" customFormat="1" ht="20.100000000000001" customHeight="1">
      <c r="A36" s="328" t="s">
        <v>60</v>
      </c>
      <c r="B36" s="329" t="s">
        <v>56</v>
      </c>
      <c r="C36" s="298">
        <f t="shared" si="0"/>
        <v>36.94</v>
      </c>
      <c r="D36" s="298">
        <f t="shared" si="1"/>
        <v>0.15</v>
      </c>
      <c r="E36" s="298">
        <f t="shared" si="9"/>
        <v>36.94</v>
      </c>
      <c r="F36" s="306">
        <f t="shared" si="2"/>
        <v>0.15</v>
      </c>
      <c r="G36" s="298">
        <v>31.4</v>
      </c>
      <c r="H36" s="298">
        <f t="shared" si="3"/>
        <v>0.15</v>
      </c>
      <c r="I36" s="255">
        <f>IF(G36=0,0,1)</f>
        <v>1</v>
      </c>
      <c r="J36" s="298">
        <f>G36*I36</f>
        <v>31.4</v>
      </c>
      <c r="K36" s="306">
        <f t="shared" si="4"/>
        <v>0.15</v>
      </c>
      <c r="L36" s="298">
        <v>4.17</v>
      </c>
      <c r="M36" s="298">
        <f t="shared" si="5"/>
        <v>0.15</v>
      </c>
      <c r="N36" s="255">
        <f>IF(L36=0,0,1)</f>
        <v>1</v>
      </c>
      <c r="O36" s="298">
        <f>L36*N36</f>
        <v>4.17</v>
      </c>
      <c r="P36" s="306">
        <f t="shared" si="6"/>
        <v>0.15</v>
      </c>
      <c r="Q36" s="298">
        <v>1.37</v>
      </c>
      <c r="R36" s="298">
        <f t="shared" si="7"/>
        <v>0.15</v>
      </c>
      <c r="S36" s="255">
        <f>IF(Q36=0,0,1)</f>
        <v>1</v>
      </c>
      <c r="T36" s="298">
        <f>Q36*S36</f>
        <v>1.37</v>
      </c>
      <c r="U36" s="306">
        <f t="shared" si="8"/>
        <v>0.15</v>
      </c>
      <c r="V36" s="57"/>
    </row>
    <row r="37" spans="1:22" s="8" customFormat="1" ht="20.100000000000001" hidden="1" customHeight="1">
      <c r="A37" s="327">
        <v>3</v>
      </c>
      <c r="B37" s="325" t="s">
        <v>202</v>
      </c>
      <c r="C37" s="296">
        <f t="shared" si="0"/>
        <v>0</v>
      </c>
      <c r="D37" s="296">
        <f t="shared" si="1"/>
        <v>0</v>
      </c>
      <c r="E37" s="296">
        <f t="shared" si="9"/>
        <v>0</v>
      </c>
      <c r="F37" s="305">
        <f t="shared" si="2"/>
        <v>0</v>
      </c>
      <c r="G37" s="296">
        <v>0</v>
      </c>
      <c r="H37" s="296">
        <f t="shared" si="3"/>
        <v>0</v>
      </c>
      <c r="I37" s="219">
        <f>IF(G37=0,0,1)</f>
        <v>0</v>
      </c>
      <c r="J37" s="296">
        <f>G37*I37</f>
        <v>0</v>
      </c>
      <c r="K37" s="305">
        <f t="shared" si="4"/>
        <v>0</v>
      </c>
      <c r="L37" s="296">
        <v>0</v>
      </c>
      <c r="M37" s="296">
        <f t="shared" si="5"/>
        <v>0</v>
      </c>
      <c r="N37" s="219">
        <f>IF(L37=0,0,1)</f>
        <v>0</v>
      </c>
      <c r="O37" s="296">
        <f>L37*N37</f>
        <v>0</v>
      </c>
      <c r="P37" s="305">
        <f t="shared" si="6"/>
        <v>0</v>
      </c>
      <c r="Q37" s="296">
        <v>0</v>
      </c>
      <c r="R37" s="296">
        <f t="shared" si="7"/>
        <v>0</v>
      </c>
      <c r="S37" s="219">
        <f>IF(Q37=0,0,1)</f>
        <v>0</v>
      </c>
      <c r="T37" s="296">
        <f>Q37*S37</f>
        <v>0</v>
      </c>
      <c r="U37" s="305">
        <f t="shared" si="8"/>
        <v>0</v>
      </c>
      <c r="V37" s="57"/>
    </row>
    <row r="38" spans="1:22" s="8" customFormat="1" ht="20.100000000000001" customHeight="1">
      <c r="A38" s="327" t="s">
        <v>372</v>
      </c>
      <c r="B38" s="325" t="s">
        <v>103</v>
      </c>
      <c r="C38" s="296">
        <f t="shared" si="0"/>
        <v>0</v>
      </c>
      <c r="D38" s="296">
        <f t="shared" si="1"/>
        <v>0</v>
      </c>
      <c r="E38" s="296">
        <f t="shared" si="9"/>
        <v>0</v>
      </c>
      <c r="F38" s="305">
        <f t="shared" si="2"/>
        <v>0</v>
      </c>
      <c r="G38" s="296">
        <v>0</v>
      </c>
      <c r="H38" s="296">
        <f t="shared" si="3"/>
        <v>0</v>
      </c>
      <c r="I38" s="219">
        <f>IF(G38=0,0,1)</f>
        <v>0</v>
      </c>
      <c r="J38" s="296">
        <f>G38*I38</f>
        <v>0</v>
      </c>
      <c r="K38" s="305">
        <f t="shared" si="4"/>
        <v>0</v>
      </c>
      <c r="L38" s="296">
        <v>0</v>
      </c>
      <c r="M38" s="296">
        <f t="shared" si="5"/>
        <v>0</v>
      </c>
      <c r="N38" s="219">
        <f>IF(L38=0,0,1)</f>
        <v>0</v>
      </c>
      <c r="O38" s="296">
        <f>L38*N38</f>
        <v>0</v>
      </c>
      <c r="P38" s="305">
        <f t="shared" si="6"/>
        <v>0</v>
      </c>
      <c r="Q38" s="296">
        <v>0</v>
      </c>
      <c r="R38" s="296">
        <f t="shared" si="7"/>
        <v>0</v>
      </c>
      <c r="S38" s="219">
        <f>IF(Q38=0,0,1)</f>
        <v>0</v>
      </c>
      <c r="T38" s="296">
        <f>Q38*S38</f>
        <v>0</v>
      </c>
      <c r="U38" s="305">
        <f t="shared" si="8"/>
        <v>0</v>
      </c>
      <c r="V38" s="57"/>
    </row>
    <row r="39" spans="1:22" s="8" customFormat="1" ht="20.100000000000001" customHeight="1">
      <c r="A39" s="327" t="s">
        <v>374</v>
      </c>
      <c r="B39" s="325" t="s">
        <v>65</v>
      </c>
      <c r="C39" s="296">
        <f t="shared" si="0"/>
        <v>0</v>
      </c>
      <c r="D39" s="296">
        <f t="shared" si="1"/>
        <v>0</v>
      </c>
      <c r="E39" s="296">
        <f t="shared" si="9"/>
        <v>0</v>
      </c>
      <c r="F39" s="305">
        <f t="shared" si="2"/>
        <v>0</v>
      </c>
      <c r="G39" s="296">
        <v>0</v>
      </c>
      <c r="H39" s="296">
        <f t="shared" si="3"/>
        <v>0</v>
      </c>
      <c r="I39" s="219">
        <f>IF(G39=0,0,1)</f>
        <v>0</v>
      </c>
      <c r="J39" s="296">
        <f>G39*I39</f>
        <v>0</v>
      </c>
      <c r="K39" s="305">
        <f t="shared" si="4"/>
        <v>0</v>
      </c>
      <c r="L39" s="296">
        <v>0</v>
      </c>
      <c r="M39" s="296">
        <f t="shared" si="5"/>
        <v>0</v>
      </c>
      <c r="N39" s="219">
        <f>IF(L39=0,0,1)</f>
        <v>0</v>
      </c>
      <c r="O39" s="296">
        <f>L39*N39</f>
        <v>0</v>
      </c>
      <c r="P39" s="305">
        <f t="shared" si="6"/>
        <v>0</v>
      </c>
      <c r="Q39" s="296">
        <v>0</v>
      </c>
      <c r="R39" s="296">
        <f t="shared" si="7"/>
        <v>0</v>
      </c>
      <c r="S39" s="219">
        <f>IF(Q39=0,0,1)</f>
        <v>0</v>
      </c>
      <c r="T39" s="296">
        <f>Q39*S39</f>
        <v>0</v>
      </c>
      <c r="U39" s="305">
        <f t="shared" si="8"/>
        <v>0</v>
      </c>
      <c r="V39" s="57"/>
    </row>
    <row r="40" spans="1:22" s="8" customFormat="1" ht="20.100000000000001" customHeight="1">
      <c r="A40" s="330" t="s">
        <v>375</v>
      </c>
      <c r="B40" s="331" t="s">
        <v>101</v>
      </c>
      <c r="C40" s="305">
        <f t="shared" si="0"/>
        <v>8829.24</v>
      </c>
      <c r="D40" s="305">
        <f t="shared" si="1"/>
        <v>36.56</v>
      </c>
      <c r="E40" s="305">
        <f t="shared" si="9"/>
        <v>11570.15</v>
      </c>
      <c r="F40" s="305">
        <f t="shared" si="2"/>
        <v>47.91</v>
      </c>
      <c r="G40" s="305">
        <f>G32+G12</f>
        <v>7506.33</v>
      </c>
      <c r="H40" s="305">
        <f t="shared" si="3"/>
        <v>36.56</v>
      </c>
      <c r="I40" s="316">
        <f>J40/G40</f>
        <v>1.3087</v>
      </c>
      <c r="J40" s="305">
        <f>J12+J32</f>
        <v>9823.51</v>
      </c>
      <c r="K40" s="305">
        <f t="shared" si="4"/>
        <v>47.85</v>
      </c>
      <c r="L40" s="305">
        <f>L32+L12</f>
        <v>996.07</v>
      </c>
      <c r="M40" s="305">
        <f t="shared" si="5"/>
        <v>36.56</v>
      </c>
      <c r="N40" s="316">
        <f>O40/L40</f>
        <v>1.3203</v>
      </c>
      <c r="O40" s="305">
        <f>O12+O32</f>
        <v>1315.13</v>
      </c>
      <c r="P40" s="305">
        <f t="shared" si="6"/>
        <v>48.27</v>
      </c>
      <c r="Q40" s="305">
        <f>Q32+Q12</f>
        <v>326.83999999999997</v>
      </c>
      <c r="R40" s="305">
        <f t="shared" si="7"/>
        <v>36.56</v>
      </c>
      <c r="S40" s="316">
        <f>T40/Q40</f>
        <v>1.3202</v>
      </c>
      <c r="T40" s="305">
        <f>T12+T32</f>
        <v>431.51</v>
      </c>
      <c r="U40" s="305">
        <f t="shared" si="8"/>
        <v>48.27</v>
      </c>
      <c r="V40" s="57"/>
    </row>
    <row r="41" spans="1:22" s="8" customFormat="1" ht="20.100000000000001" customHeight="1">
      <c r="A41" s="330" t="s">
        <v>376</v>
      </c>
      <c r="B41" s="331" t="s">
        <v>373</v>
      </c>
      <c r="C41" s="305"/>
      <c r="D41" s="305"/>
      <c r="E41" s="305">
        <f t="shared" si="9"/>
        <v>0</v>
      </c>
      <c r="F41" s="305">
        <f t="shared" si="2"/>
        <v>0</v>
      </c>
      <c r="G41" s="305"/>
      <c r="H41" s="305"/>
      <c r="I41" s="316"/>
      <c r="J41" s="305">
        <v>0</v>
      </c>
      <c r="K41" s="305">
        <f t="shared" si="4"/>
        <v>0</v>
      </c>
      <c r="L41" s="305"/>
      <c r="M41" s="305"/>
      <c r="N41" s="316"/>
      <c r="O41" s="305">
        <v>0</v>
      </c>
      <c r="P41" s="305">
        <f t="shared" si="6"/>
        <v>0</v>
      </c>
      <c r="Q41" s="305"/>
      <c r="R41" s="305"/>
      <c r="S41" s="316"/>
      <c r="T41" s="305">
        <v>0</v>
      </c>
      <c r="U41" s="305">
        <f t="shared" si="8"/>
        <v>0</v>
      </c>
      <c r="V41" s="57"/>
    </row>
    <row r="42" spans="1:22" s="8" customFormat="1" ht="20.100000000000001" customHeight="1">
      <c r="A42" s="330">
        <v>7</v>
      </c>
      <c r="B42" s="331" t="s">
        <v>142</v>
      </c>
      <c r="C42" s="305">
        <f t="shared" si="0"/>
        <v>79.37</v>
      </c>
      <c r="D42" s="305">
        <f t="shared" si="1"/>
        <v>0.33</v>
      </c>
      <c r="E42" s="305">
        <f t="shared" si="9"/>
        <v>0</v>
      </c>
      <c r="F42" s="305">
        <f t="shared" si="2"/>
        <v>0</v>
      </c>
      <c r="G42" s="305">
        <f>SUM(G43:G47)</f>
        <v>0</v>
      </c>
      <c r="H42" s="305">
        <f t="shared" si="3"/>
        <v>0</v>
      </c>
      <c r="I42" s="316">
        <f>IF(G42=0,0,J42/H42)</f>
        <v>0</v>
      </c>
      <c r="J42" s="305">
        <f>SUM(J43:J47)</f>
        <v>0</v>
      </c>
      <c r="K42" s="305">
        <f t="shared" si="4"/>
        <v>0</v>
      </c>
      <c r="L42" s="305">
        <f>SUM(L43:L47)</f>
        <v>59.76</v>
      </c>
      <c r="M42" s="305">
        <f t="shared" si="5"/>
        <v>2.19</v>
      </c>
      <c r="N42" s="316">
        <f>O42/L42</f>
        <v>0</v>
      </c>
      <c r="O42" s="305">
        <f>SUM(O43:O47)</f>
        <v>0</v>
      </c>
      <c r="P42" s="305">
        <f t="shared" si="6"/>
        <v>0</v>
      </c>
      <c r="Q42" s="305">
        <f>SUM(Q43:Q47)</f>
        <v>19.61</v>
      </c>
      <c r="R42" s="305">
        <f t="shared" si="7"/>
        <v>2.19</v>
      </c>
      <c r="S42" s="316">
        <f>T42/Q42</f>
        <v>0</v>
      </c>
      <c r="T42" s="305">
        <f>SUM(T43:T47)</f>
        <v>0</v>
      </c>
      <c r="U42" s="305">
        <f t="shared" si="8"/>
        <v>0</v>
      </c>
      <c r="V42" s="57"/>
    </row>
    <row r="43" spans="1:22" ht="20.100000000000001" customHeight="1">
      <c r="A43" s="328" t="s">
        <v>66</v>
      </c>
      <c r="B43" s="329" t="s">
        <v>67</v>
      </c>
      <c r="C43" s="298">
        <f t="shared" si="0"/>
        <v>0</v>
      </c>
      <c r="D43" s="298">
        <f t="shared" si="1"/>
        <v>0</v>
      </c>
      <c r="E43" s="298">
        <f t="shared" si="9"/>
        <v>0</v>
      </c>
      <c r="F43" s="306">
        <f t="shared" si="2"/>
        <v>0</v>
      </c>
      <c r="G43" s="298"/>
      <c r="H43" s="298">
        <f t="shared" si="3"/>
        <v>0</v>
      </c>
      <c r="I43" s="255">
        <f>IF(G43=0,0,1)</f>
        <v>0</v>
      </c>
      <c r="J43" s="298"/>
      <c r="K43" s="306">
        <f t="shared" si="4"/>
        <v>0</v>
      </c>
      <c r="L43" s="298">
        <v>0</v>
      </c>
      <c r="M43" s="298">
        <f t="shared" si="5"/>
        <v>0</v>
      </c>
      <c r="N43" s="255">
        <f>IF(L43=0,0,1)</f>
        <v>0</v>
      </c>
      <c r="O43" s="298">
        <v>0</v>
      </c>
      <c r="P43" s="306">
        <f t="shared" si="6"/>
        <v>0</v>
      </c>
      <c r="Q43" s="298">
        <v>0</v>
      </c>
      <c r="R43" s="298">
        <f t="shared" si="7"/>
        <v>0</v>
      </c>
      <c r="S43" s="255">
        <f>IF(Q43=0,0,1)</f>
        <v>0</v>
      </c>
      <c r="T43" s="298">
        <v>0</v>
      </c>
      <c r="U43" s="306">
        <f t="shared" si="8"/>
        <v>0</v>
      </c>
      <c r="V43" s="230"/>
    </row>
    <row r="44" spans="1:22" ht="20.100000000000001" customHeight="1">
      <c r="A44" s="328" t="s">
        <v>68</v>
      </c>
      <c r="B44" s="329" t="s">
        <v>69</v>
      </c>
      <c r="C44" s="298">
        <f t="shared" si="0"/>
        <v>0</v>
      </c>
      <c r="D44" s="298">
        <f>ROUND(C44/$C$50*1000,2)</f>
        <v>0</v>
      </c>
      <c r="E44" s="298">
        <f t="shared" si="9"/>
        <v>0</v>
      </c>
      <c r="F44" s="306">
        <f>ROUND(E44/$E$50*1000,2)</f>
        <v>0</v>
      </c>
      <c r="G44" s="298"/>
      <c r="H44" s="298">
        <f>ROUND(G44/$G$50*1000,2)</f>
        <v>0</v>
      </c>
      <c r="I44" s="255">
        <f>IF(G44=0,0,1)</f>
        <v>0</v>
      </c>
      <c r="J44" s="298"/>
      <c r="K44" s="306">
        <f>ROUND(J44/$J$50*1000,2)</f>
        <v>0</v>
      </c>
      <c r="L44" s="298">
        <v>0</v>
      </c>
      <c r="M44" s="298">
        <f>ROUND(L44/$L$50*1000,2)</f>
        <v>0</v>
      </c>
      <c r="N44" s="255">
        <f>IF(L44=0,0,1)</f>
        <v>0</v>
      </c>
      <c r="O44" s="298">
        <v>0</v>
      </c>
      <c r="P44" s="306">
        <f>ROUND(O44/$O$50*1000,2)</f>
        <v>0</v>
      </c>
      <c r="Q44" s="298">
        <v>0</v>
      </c>
      <c r="R44" s="298">
        <f>ROUND(Q44/$Q$50*1000,2)</f>
        <v>0</v>
      </c>
      <c r="S44" s="255">
        <f>IF(Q44=0,0,1)</f>
        <v>0</v>
      </c>
      <c r="T44" s="298">
        <v>0</v>
      </c>
      <c r="U44" s="306">
        <f>ROUND(T44/$T$50*1000,2)</f>
        <v>0</v>
      </c>
      <c r="V44" s="230"/>
    </row>
    <row r="45" spans="1:22" ht="20.100000000000001" customHeight="1">
      <c r="A45" s="328" t="s">
        <v>68</v>
      </c>
      <c r="B45" s="329" t="str">
        <f>'Додаток2 скор'!B56</f>
        <v xml:space="preserve">резервний фонд (капітал) та дивіденди </v>
      </c>
      <c r="C45" s="298">
        <f t="shared" si="0"/>
        <v>0</v>
      </c>
      <c r="D45" s="298">
        <f>C45/$C$50*1000</f>
        <v>0</v>
      </c>
      <c r="E45" s="298">
        <f t="shared" si="9"/>
        <v>0</v>
      </c>
      <c r="F45" s="306">
        <f>E45/$E$50*1000</f>
        <v>0</v>
      </c>
      <c r="G45" s="298"/>
      <c r="H45" s="298">
        <f>G45/$G$50*1000</f>
        <v>0</v>
      </c>
      <c r="I45" s="255">
        <f>IF(G45=0,0,1)</f>
        <v>0</v>
      </c>
      <c r="J45" s="298"/>
      <c r="K45" s="306">
        <f>J45/$J$50*1000</f>
        <v>0</v>
      </c>
      <c r="L45" s="298">
        <v>0</v>
      </c>
      <c r="M45" s="298">
        <f>L45/$L$50*1000</f>
        <v>0</v>
      </c>
      <c r="N45" s="255">
        <f>IF(L45=0,0,1)</f>
        <v>0</v>
      </c>
      <c r="O45" s="298">
        <v>0</v>
      </c>
      <c r="P45" s="306">
        <f>O45/$O$50*1000</f>
        <v>0</v>
      </c>
      <c r="Q45" s="298">
        <v>0</v>
      </c>
      <c r="R45" s="298">
        <f>Q45/$Q$50*1000</f>
        <v>0</v>
      </c>
      <c r="S45" s="255">
        <f>IF(Q45=0,0,1)</f>
        <v>0</v>
      </c>
      <c r="T45" s="298">
        <v>0</v>
      </c>
      <c r="U45" s="306">
        <f>T45/$T$50*1000</f>
        <v>0</v>
      </c>
      <c r="V45" s="230"/>
    </row>
    <row r="46" spans="1:22" s="9" customFormat="1" ht="20.100000000000001" customHeight="1">
      <c r="A46" s="328" t="s">
        <v>70</v>
      </c>
      <c r="B46" s="329" t="s">
        <v>72</v>
      </c>
      <c r="C46" s="298">
        <f t="shared" si="0"/>
        <v>79.37</v>
      </c>
      <c r="D46" s="298">
        <f>C46/$C$50*1000</f>
        <v>0.33</v>
      </c>
      <c r="E46" s="298">
        <f t="shared" si="9"/>
        <v>0</v>
      </c>
      <c r="F46" s="306">
        <f>E46/$E$50*1000</f>
        <v>0</v>
      </c>
      <c r="G46" s="298"/>
      <c r="H46" s="298">
        <f>G46/$G$50*1000</f>
        <v>0</v>
      </c>
      <c r="I46" s="255">
        <f>IF(G46=0,0,1)</f>
        <v>0</v>
      </c>
      <c r="J46" s="298"/>
      <c r="K46" s="306">
        <f>J46/$J$50*1000</f>
        <v>0</v>
      </c>
      <c r="L46" s="298">
        <v>59.76</v>
      </c>
      <c r="M46" s="298">
        <f>L46/$L$50*1000</f>
        <v>2.19</v>
      </c>
      <c r="N46" s="255">
        <f>IF(L46=0,0,1)</f>
        <v>1</v>
      </c>
      <c r="O46" s="298">
        <v>0</v>
      </c>
      <c r="P46" s="306">
        <f>O46/$O$50*1000</f>
        <v>0</v>
      </c>
      <c r="Q46" s="298">
        <v>19.61</v>
      </c>
      <c r="R46" s="298">
        <f>Q46/$Q$50*1000</f>
        <v>2.19</v>
      </c>
      <c r="S46" s="255">
        <f>IF(Q46=0,0,1)</f>
        <v>1</v>
      </c>
      <c r="T46" s="298">
        <v>0</v>
      </c>
      <c r="U46" s="306">
        <f>T46/$T$50*1000</f>
        <v>0</v>
      </c>
      <c r="V46" s="230"/>
    </row>
    <row r="47" spans="1:22" ht="20.100000000000001" customHeight="1">
      <c r="A47" s="328" t="s">
        <v>71</v>
      </c>
      <c r="B47" s="329" t="s">
        <v>73</v>
      </c>
      <c r="C47" s="298">
        <f t="shared" si="0"/>
        <v>0</v>
      </c>
      <c r="D47" s="298">
        <f>C47/$C$50*1000</f>
        <v>0</v>
      </c>
      <c r="E47" s="298">
        <f t="shared" si="9"/>
        <v>0</v>
      </c>
      <c r="F47" s="306">
        <f>E47/$E$50*1000</f>
        <v>0</v>
      </c>
      <c r="G47" s="298"/>
      <c r="H47" s="298">
        <f>G47/$G$50*1000</f>
        <v>0</v>
      </c>
      <c r="I47" s="255">
        <f>IF(G47=0,0,1)</f>
        <v>0</v>
      </c>
      <c r="J47" s="298"/>
      <c r="K47" s="306">
        <f>J47/$J$50*1000</f>
        <v>0</v>
      </c>
      <c r="L47" s="298">
        <v>0</v>
      </c>
      <c r="M47" s="298">
        <f>L47/$L$50*1000</f>
        <v>0</v>
      </c>
      <c r="N47" s="255">
        <f>IF(L47=0,0,1)</f>
        <v>0</v>
      </c>
      <c r="O47" s="298">
        <v>0</v>
      </c>
      <c r="P47" s="306">
        <f>O47/$O$50*1000</f>
        <v>0</v>
      </c>
      <c r="Q47" s="298">
        <v>0</v>
      </c>
      <c r="R47" s="298">
        <f>Q47/$Q$50*1000</f>
        <v>0</v>
      </c>
      <c r="S47" s="255">
        <f>IF(Q47=0,0,1)</f>
        <v>0</v>
      </c>
      <c r="T47" s="298">
        <v>0</v>
      </c>
      <c r="U47" s="306">
        <f>T47/$T$50*1000</f>
        <v>0</v>
      </c>
      <c r="V47" s="230"/>
    </row>
    <row r="48" spans="1:22" s="8" customFormat="1" ht="36.75" customHeight="1">
      <c r="A48" s="330">
        <v>8</v>
      </c>
      <c r="B48" s="331" t="s">
        <v>80</v>
      </c>
      <c r="C48" s="305">
        <f t="shared" si="0"/>
        <v>8908.61</v>
      </c>
      <c r="D48" s="305">
        <f>D40+D42</f>
        <v>36.89</v>
      </c>
      <c r="E48" s="305">
        <f t="shared" si="9"/>
        <v>11570.15</v>
      </c>
      <c r="F48" s="305">
        <f>E48/$E$50*1000</f>
        <v>47.91</v>
      </c>
      <c r="G48" s="305">
        <f>G42+G40</f>
        <v>7506.33</v>
      </c>
      <c r="H48" s="305">
        <f>H40+H42</f>
        <v>36.56</v>
      </c>
      <c r="I48" s="316">
        <f>J48/G48</f>
        <v>1.3087</v>
      </c>
      <c r="J48" s="305">
        <f>J40+J42</f>
        <v>9823.51</v>
      </c>
      <c r="K48" s="305">
        <f>ROUND(J48/$J$50*1000,2)</f>
        <v>47.85</v>
      </c>
      <c r="L48" s="305">
        <f>L42+L40</f>
        <v>1055.83</v>
      </c>
      <c r="M48" s="305">
        <f>M40+M42</f>
        <v>38.75</v>
      </c>
      <c r="N48" s="316">
        <f>O48/L48</f>
        <v>1.2456</v>
      </c>
      <c r="O48" s="305">
        <f>O40+O41+O42</f>
        <v>1315.13</v>
      </c>
      <c r="P48" s="305">
        <f>O48/$O$50*1000</f>
        <v>48.27</v>
      </c>
      <c r="Q48" s="305">
        <f>Q42+Q40</f>
        <v>346.45</v>
      </c>
      <c r="R48" s="305">
        <f>R40+R42</f>
        <v>38.75</v>
      </c>
      <c r="S48" s="316">
        <f>T48/Q48</f>
        <v>1.2455000000000001</v>
      </c>
      <c r="T48" s="305">
        <f>T40+T41+T42</f>
        <v>431.51</v>
      </c>
      <c r="U48" s="305">
        <f>T48/$T$50*1000</f>
        <v>48.27</v>
      </c>
      <c r="V48" s="57"/>
    </row>
    <row r="49" spans="1:22" s="8" customFormat="1" ht="34.5" customHeight="1">
      <c r="A49" s="327" t="s">
        <v>106</v>
      </c>
      <c r="B49" s="325" t="s">
        <v>116</v>
      </c>
      <c r="C49" s="296"/>
      <c r="D49" s="296">
        <f>D48</f>
        <v>36.89</v>
      </c>
      <c r="E49" s="296">
        <f t="shared" si="9"/>
        <v>0</v>
      </c>
      <c r="F49" s="305">
        <f>F48</f>
        <v>47.91</v>
      </c>
      <c r="G49" s="296"/>
      <c r="H49" s="296">
        <f>H48</f>
        <v>36.56</v>
      </c>
      <c r="I49" s="219">
        <f>K49/H49</f>
        <v>1.3088</v>
      </c>
      <c r="J49" s="296"/>
      <c r="K49" s="305">
        <f>K48</f>
        <v>47.85</v>
      </c>
      <c r="L49" s="296"/>
      <c r="M49" s="296">
        <f>M48</f>
        <v>38.75</v>
      </c>
      <c r="N49" s="219">
        <f>P49/M49</f>
        <v>1.2457</v>
      </c>
      <c r="O49" s="296"/>
      <c r="P49" s="305">
        <f>P48</f>
        <v>48.27</v>
      </c>
      <c r="Q49" s="296"/>
      <c r="R49" s="296">
        <f>R48</f>
        <v>38.75</v>
      </c>
      <c r="S49" s="219"/>
      <c r="T49" s="296"/>
      <c r="U49" s="305">
        <f>U48</f>
        <v>48.27</v>
      </c>
    </row>
    <row r="50" spans="1:22" s="8" customFormat="1" ht="42" customHeight="1">
      <c r="A50" s="293">
        <v>10</v>
      </c>
      <c r="B50" s="325" t="s">
        <v>143</v>
      </c>
      <c r="C50" s="218">
        <f>G50+L50+Q50</f>
        <v>241491.87</v>
      </c>
      <c r="D50" s="218"/>
      <c r="E50" s="218">
        <f>J50+O50+T50</f>
        <v>241492.05</v>
      </c>
      <c r="F50" s="310"/>
      <c r="G50" s="218">
        <f>'Додаток2 скор'!H61</f>
        <v>205308.92</v>
      </c>
      <c r="H50" s="218"/>
      <c r="I50" s="219"/>
      <c r="J50" s="218">
        <f>G50</f>
        <v>205308.92</v>
      </c>
      <c r="K50" s="310"/>
      <c r="L50" s="218">
        <f>'Додаток2 скор'!M61</f>
        <v>27244.13</v>
      </c>
      <c r="M50" s="218"/>
      <c r="N50" s="218"/>
      <c r="O50" s="218">
        <f>L50</f>
        <v>27244.13</v>
      </c>
      <c r="P50" s="310"/>
      <c r="Q50" s="218">
        <f>'Додаток2 скор'!R61</f>
        <v>8938.82</v>
      </c>
      <c r="R50" s="218"/>
      <c r="S50" s="219"/>
      <c r="T50" s="341">
        <f>Q50</f>
        <v>8939</v>
      </c>
      <c r="U50" s="364"/>
    </row>
    <row r="51" spans="1:22" ht="20.100000000000001" customHeight="1">
      <c r="A51" s="328" t="s">
        <v>81</v>
      </c>
      <c r="B51" s="329" t="s">
        <v>144</v>
      </c>
      <c r="C51" s="220">
        <f>G51+L51+Q51</f>
        <v>0</v>
      </c>
      <c r="D51" s="220"/>
      <c r="E51" s="220">
        <f>J51+O51+T51</f>
        <v>0</v>
      </c>
      <c r="F51" s="311"/>
      <c r="G51" s="220">
        <f>G50-G52</f>
        <v>0</v>
      </c>
      <c r="H51" s="220"/>
      <c r="I51" s="255"/>
      <c r="J51" s="220">
        <f>G51</f>
        <v>0</v>
      </c>
      <c r="K51" s="311"/>
      <c r="L51" s="220">
        <f>L50-L52</f>
        <v>0</v>
      </c>
      <c r="M51" s="220"/>
      <c r="N51" s="220"/>
      <c r="O51" s="220">
        <f>L51</f>
        <v>0</v>
      </c>
      <c r="P51" s="311"/>
      <c r="Q51" s="220">
        <f>Q50-Q52</f>
        <v>0</v>
      </c>
      <c r="R51" s="220"/>
      <c r="S51" s="342"/>
      <c r="T51" s="220">
        <f>Q51</f>
        <v>0</v>
      </c>
      <c r="U51" s="363"/>
    </row>
    <row r="52" spans="1:22" ht="20.100000000000001" customHeight="1">
      <c r="A52" s="328" t="s">
        <v>82</v>
      </c>
      <c r="B52" s="329" t="s">
        <v>145</v>
      </c>
      <c r="C52" s="220">
        <f>G52+L52+Q52</f>
        <v>241491.87</v>
      </c>
      <c r="D52" s="220"/>
      <c r="E52" s="220">
        <f>J52+O52+T52</f>
        <v>241491.87</v>
      </c>
      <c r="F52" s="311"/>
      <c r="G52" s="220">
        <f>'Додаток2 скор'!H61</f>
        <v>205308.92</v>
      </c>
      <c r="H52" s="220"/>
      <c r="I52" s="255"/>
      <c r="J52" s="220">
        <f>G52</f>
        <v>205308.92</v>
      </c>
      <c r="K52" s="311"/>
      <c r="L52" s="220">
        <f>'Додаток2 скор'!M61</f>
        <v>27244.13</v>
      </c>
      <c r="M52" s="220"/>
      <c r="N52" s="220"/>
      <c r="O52" s="220">
        <f>L52</f>
        <v>27244.13</v>
      </c>
      <c r="P52" s="311"/>
      <c r="Q52" s="220">
        <f>'Додаток2 скор'!R61</f>
        <v>8938.82</v>
      </c>
      <c r="R52" s="220"/>
      <c r="S52" s="342"/>
      <c r="T52" s="220">
        <f>Q52</f>
        <v>8938.82</v>
      </c>
      <c r="U52" s="363"/>
    </row>
    <row r="53" spans="1:22" ht="20.100000000000001" customHeight="1">
      <c r="A53" s="332" t="s">
        <v>86</v>
      </c>
      <c r="B53" s="333" t="s">
        <v>75</v>
      </c>
      <c r="C53" s="343"/>
      <c r="D53" s="343">
        <v>727042</v>
      </c>
      <c r="E53" s="343"/>
      <c r="F53" s="355"/>
      <c r="G53" s="343">
        <v>99069</v>
      </c>
      <c r="H53" s="343">
        <v>43200</v>
      </c>
      <c r="I53" s="344"/>
      <c r="J53" s="343"/>
      <c r="K53" s="355"/>
      <c r="L53" s="345"/>
      <c r="M53" s="345"/>
      <c r="N53" s="345"/>
      <c r="O53" s="345"/>
      <c r="P53" s="360"/>
      <c r="Q53" s="345"/>
      <c r="R53" s="346"/>
      <c r="S53" s="342"/>
      <c r="T53" s="268"/>
      <c r="U53" s="363"/>
    </row>
    <row r="54" spans="1:22" ht="20.100000000000001" customHeight="1">
      <c r="A54" s="334" t="s">
        <v>104</v>
      </c>
      <c r="B54" s="335" t="s">
        <v>87</v>
      </c>
      <c r="C54" s="347"/>
      <c r="D54" s="347"/>
      <c r="E54" s="347"/>
      <c r="F54" s="356"/>
      <c r="G54" s="347"/>
      <c r="H54" s="347"/>
      <c r="I54" s="348"/>
      <c r="J54" s="347"/>
      <c r="K54" s="356"/>
      <c r="L54" s="349">
        <v>99069</v>
      </c>
      <c r="M54" s="349"/>
      <c r="N54" s="349"/>
      <c r="O54" s="349"/>
      <c r="P54" s="361"/>
      <c r="Q54" s="349"/>
      <c r="R54" s="346"/>
      <c r="S54" s="342"/>
      <c r="T54" s="268"/>
      <c r="U54" s="363"/>
    </row>
    <row r="55" spans="1:22" ht="20.100000000000001" customHeight="1">
      <c r="A55" s="334" t="s">
        <v>105</v>
      </c>
      <c r="B55" s="335" t="s">
        <v>88</v>
      </c>
      <c r="C55" s="347"/>
      <c r="D55" s="347"/>
      <c r="E55" s="347"/>
      <c r="F55" s="356"/>
      <c r="G55" s="347"/>
      <c r="H55" s="347"/>
      <c r="I55" s="348"/>
      <c r="J55" s="347"/>
      <c r="K55" s="356"/>
      <c r="L55" s="349"/>
      <c r="M55" s="1148">
        <v>43200</v>
      </c>
      <c r="N55" s="1149"/>
      <c r="O55" s="1149"/>
      <c r="P55" s="1149"/>
      <c r="Q55" s="1150"/>
      <c r="R55" s="346"/>
      <c r="S55" s="342"/>
      <c r="T55" s="268"/>
      <c r="U55" s="363"/>
    </row>
    <row r="56" spans="1:22" ht="38.25" customHeight="1">
      <c r="A56" s="336">
        <v>13</v>
      </c>
      <c r="B56" s="335" t="s">
        <v>89</v>
      </c>
      <c r="C56" s="347"/>
      <c r="D56" s="347"/>
      <c r="E56" s="347"/>
      <c r="F56" s="356"/>
      <c r="G56" s="347"/>
      <c r="H56" s="347"/>
      <c r="I56" s="348"/>
      <c r="J56" s="347"/>
      <c r="K56" s="356"/>
      <c r="L56" s="349"/>
      <c r="M56" s="349"/>
      <c r="N56" s="349"/>
      <c r="O56" s="349"/>
      <c r="P56" s="361"/>
      <c r="Q56" s="349"/>
      <c r="R56" s="280"/>
      <c r="S56" s="342"/>
      <c r="T56" s="268"/>
      <c r="U56" s="363"/>
    </row>
    <row r="57" spans="1:22" ht="20.100000000000001" customHeight="1">
      <c r="A57" s="337">
        <v>14</v>
      </c>
      <c r="B57" s="338" t="s">
        <v>90</v>
      </c>
      <c r="C57" s="350"/>
      <c r="D57" s="350"/>
      <c r="E57" s="350"/>
      <c r="F57" s="357"/>
      <c r="G57" s="350"/>
      <c r="H57" s="350"/>
      <c r="I57" s="351"/>
      <c r="J57" s="350"/>
      <c r="K57" s="357"/>
      <c r="L57" s="352"/>
      <c r="M57" s="352"/>
      <c r="N57" s="352"/>
      <c r="O57" s="352"/>
      <c r="P57" s="362"/>
      <c r="Q57" s="352"/>
      <c r="R57" s="280"/>
      <c r="S57" s="342"/>
      <c r="T57" s="268"/>
      <c r="U57" s="363"/>
      <c r="V57" s="164"/>
    </row>
    <row r="58" spans="1:22" s="8" customFormat="1" ht="20.100000000000001" customHeight="1">
      <c r="A58" s="339">
        <v>11</v>
      </c>
      <c r="B58" s="340" t="s">
        <v>204</v>
      </c>
      <c r="C58" s="214">
        <f>C42/C40*100</f>
        <v>0.9</v>
      </c>
      <c r="D58" s="214">
        <f t="shared" ref="D58:U58" si="12">D42/D40*100</f>
        <v>0.9</v>
      </c>
      <c r="E58" s="214">
        <f t="shared" si="12"/>
        <v>0</v>
      </c>
      <c r="F58" s="358">
        <f t="shared" si="12"/>
        <v>0</v>
      </c>
      <c r="G58" s="214">
        <f t="shared" si="12"/>
        <v>0</v>
      </c>
      <c r="H58" s="214">
        <f t="shared" si="12"/>
        <v>0</v>
      </c>
      <c r="I58" s="264"/>
      <c r="J58" s="214">
        <f t="shared" si="12"/>
        <v>0</v>
      </c>
      <c r="K58" s="358">
        <f t="shared" si="12"/>
        <v>0</v>
      </c>
      <c r="L58" s="214">
        <f t="shared" si="12"/>
        <v>6</v>
      </c>
      <c r="M58" s="214">
        <f t="shared" si="12"/>
        <v>5.99</v>
      </c>
      <c r="N58" s="214"/>
      <c r="O58" s="214">
        <f t="shared" si="12"/>
        <v>0</v>
      </c>
      <c r="P58" s="358">
        <f t="shared" si="12"/>
        <v>0</v>
      </c>
      <c r="Q58" s="214">
        <f t="shared" si="12"/>
        <v>6</v>
      </c>
      <c r="R58" s="214">
        <f t="shared" si="12"/>
        <v>5.99</v>
      </c>
      <c r="S58" s="267"/>
      <c r="T58" s="214">
        <f t="shared" si="12"/>
        <v>0</v>
      </c>
      <c r="U58" s="358">
        <f t="shared" si="12"/>
        <v>0</v>
      </c>
    </row>
    <row r="59" spans="1:22" s="8" customFormat="1" ht="20.100000000000001" customHeight="1">
      <c r="A59" s="339">
        <v>12</v>
      </c>
      <c r="B59" s="340" t="s">
        <v>262</v>
      </c>
      <c r="C59" s="214"/>
      <c r="D59" s="214"/>
      <c r="E59" s="214"/>
      <c r="F59" s="358"/>
      <c r="G59" s="214"/>
      <c r="H59" s="214">
        <f>'Додаток2 скор'!I65</f>
        <v>75.11</v>
      </c>
      <c r="I59" s="264">
        <f>K59/H59</f>
        <v>1.9505999999999999</v>
      </c>
      <c r="J59" s="214"/>
      <c r="K59" s="358">
        <f>AH13</f>
        <v>146.51</v>
      </c>
      <c r="L59" s="214"/>
      <c r="M59" s="214">
        <f>'Додаток2 скор'!N65</f>
        <v>75.11</v>
      </c>
      <c r="N59" s="264">
        <f>P59/M59</f>
        <v>2.0602999999999998</v>
      </c>
      <c r="O59" s="214"/>
      <c r="P59" s="358">
        <f>Z13</f>
        <v>154.75</v>
      </c>
      <c r="Q59" s="214"/>
      <c r="R59" s="214">
        <f>'Додаток2 скор'!S65</f>
        <v>75.11</v>
      </c>
      <c r="S59" s="264">
        <f>U59/R59</f>
        <v>2.0602999999999998</v>
      </c>
      <c r="T59" s="214"/>
      <c r="U59" s="358">
        <f>AD13</f>
        <v>154.75</v>
      </c>
    </row>
    <row r="60" spans="1:22" s="8" customFormat="1" ht="20.100000000000001" customHeight="1">
      <c r="A60" s="339">
        <v>13</v>
      </c>
      <c r="B60" s="340" t="s">
        <v>263</v>
      </c>
      <c r="C60" s="214"/>
      <c r="D60" s="214"/>
      <c r="E60" s="214"/>
      <c r="F60" s="358"/>
      <c r="G60" s="214"/>
      <c r="H60" s="214">
        <f>'Додаток2 скор'!I66</f>
        <v>95.61</v>
      </c>
      <c r="I60" s="264">
        <f>K60/H60</f>
        <v>1.9505999999999999</v>
      </c>
      <c r="J60" s="214"/>
      <c r="K60" s="358">
        <f>AH14</f>
        <v>186.5</v>
      </c>
      <c r="L60" s="214"/>
      <c r="M60" s="214">
        <f>'Додаток2 скор'!N66</f>
        <v>95.61</v>
      </c>
      <c r="N60" s="264">
        <f>P60/M60</f>
        <v>2.0602999999999998</v>
      </c>
      <c r="O60" s="214"/>
      <c r="P60" s="358">
        <f>Z14</f>
        <v>196.99</v>
      </c>
      <c r="Q60" s="214"/>
      <c r="R60" s="214">
        <f>'Додаток2 скор'!S66</f>
        <v>95.61</v>
      </c>
      <c r="S60" s="264">
        <f>U60/R60</f>
        <v>2.0602</v>
      </c>
      <c r="T60" s="214"/>
      <c r="U60" s="358">
        <f>AD14</f>
        <v>196.98</v>
      </c>
    </row>
    <row r="61" spans="1:22" ht="20.100000000000001" customHeight="1">
      <c r="A61" s="339">
        <v>14</v>
      </c>
      <c r="B61" s="340" t="s">
        <v>265</v>
      </c>
      <c r="C61" s="353"/>
      <c r="D61" s="353"/>
      <c r="E61" s="353"/>
      <c r="F61" s="359"/>
      <c r="G61" s="353"/>
      <c r="H61" s="214">
        <f>'Додаток2 скор'!I67</f>
        <v>3386</v>
      </c>
      <c r="I61" s="264">
        <f>K61/H61</f>
        <v>1.2884</v>
      </c>
      <c r="J61" s="214"/>
      <c r="K61" s="358">
        <f>'Додаток2 скор'!L67</f>
        <v>4362.6499999999996</v>
      </c>
      <c r="L61" s="354"/>
      <c r="M61" s="214">
        <f>'Додаток2 скор'!N67</f>
        <v>3386</v>
      </c>
      <c r="N61" s="264">
        <f>P61/M61</f>
        <v>1.2884</v>
      </c>
      <c r="O61" s="353"/>
      <c r="P61" s="358">
        <f>'Додаток2 скор'!Q67</f>
        <v>4362.6499999999996</v>
      </c>
      <c r="Q61" s="268"/>
      <c r="R61" s="214">
        <f>'Додаток2 скор'!S67</f>
        <v>3386</v>
      </c>
      <c r="S61" s="264">
        <f>U61/R61</f>
        <v>1.2884</v>
      </c>
      <c r="T61" s="268"/>
      <c r="U61" s="358">
        <f>'Додаток2 скор'!V67</f>
        <v>4362.6499999999996</v>
      </c>
    </row>
    <row r="62" spans="1:22" s="30" customFormat="1" ht="15.75" hidden="1">
      <c r="A62" s="212">
        <v>15</v>
      </c>
      <c r="B62" s="31" t="s">
        <v>98</v>
      </c>
      <c r="L62" s="130"/>
      <c r="Q62" s="31" t="s">
        <v>99</v>
      </c>
    </row>
    <row r="63" spans="1:22" s="30" customFormat="1" ht="15.75">
      <c r="A63" s="133"/>
      <c r="B63" s="31"/>
      <c r="L63" s="130"/>
      <c r="Q63" s="31"/>
    </row>
    <row r="64" spans="1:22" s="30" customFormat="1" ht="24.75" customHeight="1">
      <c r="A64" s="133"/>
      <c r="B64" s="276" t="s">
        <v>266</v>
      </c>
      <c r="G64" s="1159" t="s">
        <v>267</v>
      </c>
      <c r="H64" s="1159"/>
      <c r="I64" s="1159"/>
      <c r="J64" s="1159"/>
      <c r="K64" s="1159"/>
      <c r="L64" s="130"/>
      <c r="Q64" s="1158" t="s">
        <v>268</v>
      </c>
      <c r="R64" s="1158"/>
      <c r="S64" s="1158"/>
      <c r="T64" s="1158"/>
      <c r="U64" s="1158"/>
    </row>
    <row r="65" spans="1:21" s="134" customFormat="1" ht="16.5" customHeight="1">
      <c r="A65" s="272"/>
      <c r="B65" s="277" t="s">
        <v>229</v>
      </c>
      <c r="C65" s="278"/>
      <c r="D65" s="278"/>
      <c r="E65" s="278"/>
      <c r="F65" s="278"/>
      <c r="G65" s="1147" t="s">
        <v>230</v>
      </c>
      <c r="H65" s="1147"/>
      <c r="I65" s="1147"/>
      <c r="J65" s="1147"/>
      <c r="K65" s="1147"/>
      <c r="L65" s="280"/>
      <c r="M65" s="60"/>
      <c r="N65" s="60"/>
      <c r="O65" s="60"/>
      <c r="P65" s="60"/>
      <c r="Q65" s="1146" t="s">
        <v>231</v>
      </c>
      <c r="R65" s="1146"/>
      <c r="S65" s="1146"/>
      <c r="T65" s="1146"/>
      <c r="U65" s="1146"/>
    </row>
  </sheetData>
  <sheetProtection selectLockedCells="1" selectUnlockedCells="1"/>
  <mergeCells count="37">
    <mergeCell ref="AE9:AF10"/>
    <mergeCell ref="AG9:AG10"/>
    <mergeCell ref="AH9:AH10"/>
    <mergeCell ref="AE12:AH12"/>
    <mergeCell ref="Z9:Z10"/>
    <mergeCell ref="AA9:AB10"/>
    <mergeCell ref="AC9:AC10"/>
    <mergeCell ref="W29:W31"/>
    <mergeCell ref="AD9:AD10"/>
    <mergeCell ref="E9:F9"/>
    <mergeCell ref="Y9:Y10"/>
    <mergeCell ref="J9:K9"/>
    <mergeCell ref="Q64:U64"/>
    <mergeCell ref="G64:K64"/>
    <mergeCell ref="W12:Z12"/>
    <mergeCell ref="W20:W22"/>
    <mergeCell ref="AA12:AD12"/>
    <mergeCell ref="T9:U9"/>
    <mergeCell ref="L8:P8"/>
    <mergeCell ref="W23:W25"/>
    <mergeCell ref="Q65:U65"/>
    <mergeCell ref="G65:K65"/>
    <mergeCell ref="M55:Q55"/>
    <mergeCell ref="W9:X10"/>
    <mergeCell ref="O9:P9"/>
    <mergeCell ref="L9:M9"/>
    <mergeCell ref="W26:W28"/>
    <mergeCell ref="A1:U4"/>
    <mergeCell ref="B7:M7"/>
    <mergeCell ref="A8:A10"/>
    <mergeCell ref="B8:B10"/>
    <mergeCell ref="G9:H9"/>
    <mergeCell ref="C8:F8"/>
    <mergeCell ref="C9:D9"/>
    <mergeCell ref="G8:K8"/>
    <mergeCell ref="Q8:U8"/>
    <mergeCell ref="Q9:R9"/>
  </mergeCells>
  <printOptions horizontalCentered="1"/>
  <pageMargins left="0" right="0" top="0.19685039370078741" bottom="0.19685039370078741" header="0" footer="0"/>
  <pageSetup paperSize="9" scale="55" firstPageNumber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39"/>
  </sheetPr>
  <dimension ref="A1:DI82"/>
  <sheetViews>
    <sheetView zoomScale="70" zoomScaleNormal="70" zoomScaleSheetLayoutView="70" workbookViewId="0">
      <pane xSplit="2" ySplit="7" topLeftCell="E8" activePane="bottomRight" state="frozen"/>
      <selection activeCell="C48" sqref="C48:J48"/>
      <selection pane="topRight" activeCell="C48" sqref="C48:J48"/>
      <selection pane="bottomLeft" activeCell="C48" sqref="C48:J48"/>
      <selection pane="bottomRight" activeCell="B38" sqref="B38"/>
    </sheetView>
  </sheetViews>
  <sheetFormatPr defaultColWidth="11.5703125" defaultRowHeight="12.75"/>
  <cols>
    <col min="1" max="1" width="9.140625" style="1" hidden="1" customWidth="1"/>
    <col min="2" max="2" width="44.85546875" style="1" customWidth="1"/>
    <col min="3" max="4" width="17.7109375" style="1" hidden="1" customWidth="1"/>
    <col min="5" max="5" width="12.5703125" style="1" customWidth="1"/>
    <col min="6" max="6" width="13" style="1" customWidth="1"/>
    <col min="7" max="7" width="13" style="1" hidden="1" customWidth="1"/>
    <col min="8" max="8" width="12.85546875" style="1" hidden="1" customWidth="1"/>
    <col min="9" max="9" width="12.7109375" style="1" customWidth="1"/>
    <col min="10" max="10" width="10.42578125" style="1" customWidth="1"/>
    <col min="11" max="11" width="12.7109375" style="1" customWidth="1"/>
    <col min="12" max="12" width="7" style="1" customWidth="1"/>
    <col min="13" max="13" width="11.85546875" style="1" hidden="1" customWidth="1"/>
    <col min="14" max="14" width="12.7109375" style="1" hidden="1" customWidth="1"/>
    <col min="15" max="15" width="14.140625" style="1" customWidth="1"/>
    <col min="16" max="16" width="10.42578125" style="1" customWidth="1"/>
    <col min="17" max="17" width="11.85546875" style="1" customWidth="1"/>
    <col min="18" max="18" width="8.5703125" style="1" customWidth="1"/>
    <col min="19" max="19" width="10.5703125" style="1" hidden="1" customWidth="1"/>
    <col min="20" max="20" width="11.28515625" style="1" hidden="1" customWidth="1"/>
    <col min="21" max="21" width="11.140625" style="1" customWidth="1"/>
    <col min="22" max="22" width="9.28515625" style="1" customWidth="1"/>
    <col min="23" max="23" width="12.42578125" style="1" customWidth="1"/>
    <col min="24" max="24" width="8.85546875" style="1" customWidth="1"/>
    <col min="25" max="25" width="8.85546875" style="1" hidden="1" customWidth="1"/>
    <col min="26" max="26" width="10.28515625" style="1" hidden="1" customWidth="1"/>
    <col min="27" max="28" width="14.85546875" style="1" customWidth="1"/>
    <col min="29" max="29" width="12.7109375" style="1" customWidth="1"/>
    <col min="30" max="30" width="7" style="855" customWidth="1"/>
    <col min="31" max="16384" width="11.5703125" style="1"/>
  </cols>
  <sheetData>
    <row r="1" spans="1:113" ht="21" customHeight="1">
      <c r="A1" s="1084" t="s">
        <v>416</v>
      </c>
      <c r="B1" s="1084"/>
      <c r="C1" s="1084"/>
      <c r="D1" s="1084"/>
      <c r="E1" s="1084"/>
      <c r="F1" s="1084"/>
      <c r="G1" s="1084"/>
      <c r="H1" s="1084"/>
      <c r="I1" s="1084"/>
      <c r="J1" s="1084"/>
      <c r="K1" s="1084"/>
      <c r="L1" s="1084"/>
      <c r="M1" s="1084"/>
      <c r="N1" s="1084"/>
      <c r="O1" s="1084"/>
      <c r="P1" s="887"/>
      <c r="Q1" s="887"/>
      <c r="R1" s="887"/>
      <c r="S1" s="887"/>
      <c r="T1" s="887"/>
      <c r="U1" s="887"/>
      <c r="V1" s="887"/>
      <c r="W1" s="887"/>
      <c r="X1" s="631"/>
      <c r="Y1" s="631"/>
      <c r="Z1" s="631"/>
      <c r="AC1" s="227"/>
    </row>
    <row r="2" spans="1:113" ht="29.25" customHeight="1">
      <c r="A2" s="1085" t="s">
        <v>406</v>
      </c>
      <c r="B2" s="1085"/>
      <c r="C2" s="1085"/>
      <c r="D2" s="1085"/>
      <c r="E2" s="1085"/>
      <c r="F2" s="1085"/>
      <c r="G2" s="1085"/>
      <c r="H2" s="1085"/>
      <c r="I2" s="1085"/>
      <c r="J2" s="1085"/>
      <c r="K2" s="1085"/>
      <c r="L2" s="1085"/>
      <c r="M2" s="1085"/>
      <c r="N2" s="1085"/>
      <c r="O2" s="1085"/>
      <c r="P2" s="888"/>
      <c r="Q2" s="888"/>
      <c r="R2" s="888"/>
      <c r="S2" s="888"/>
      <c r="T2" s="888"/>
      <c r="U2" s="888"/>
      <c r="V2" s="888"/>
      <c r="W2" s="888"/>
      <c r="X2" s="135"/>
      <c r="Y2" s="135"/>
      <c r="Z2" s="135"/>
    </row>
    <row r="3" spans="1:113" ht="18" customHeight="1" thickBot="1">
      <c r="A3" s="2"/>
      <c r="B3" s="1132"/>
      <c r="C3" s="1132"/>
      <c r="D3" s="1132"/>
      <c r="E3" s="1132"/>
      <c r="F3" s="1132"/>
      <c r="G3" s="1132"/>
      <c r="H3" s="1132"/>
      <c r="I3" s="1132"/>
      <c r="J3" s="1132"/>
      <c r="K3" s="1132"/>
      <c r="L3" s="1132"/>
      <c r="M3" s="1132"/>
      <c r="N3" s="1132"/>
      <c r="O3" s="1132"/>
      <c r="P3" s="1132"/>
      <c r="Q3" s="228"/>
      <c r="R3" s="228"/>
      <c r="S3" s="228"/>
      <c r="T3" s="228"/>
      <c r="X3" s="737" t="s">
        <v>26</v>
      </c>
      <c r="Y3" s="737"/>
      <c r="Z3" s="737"/>
      <c r="AC3" s="282"/>
    </row>
    <row r="4" spans="1:113" s="587" customFormat="1" ht="67.5" customHeight="1">
      <c r="A4" s="1179" t="s">
        <v>171</v>
      </c>
      <c r="B4" s="1176" t="s">
        <v>4</v>
      </c>
      <c r="C4" s="1066" t="s">
        <v>420</v>
      </c>
      <c r="D4" s="1067"/>
      <c r="E4" s="1067"/>
      <c r="F4" s="1068"/>
      <c r="G4" s="1062" t="s">
        <v>126</v>
      </c>
      <c r="H4" s="1063"/>
      <c r="I4" s="1063"/>
      <c r="J4" s="1063"/>
      <c r="K4" s="1063"/>
      <c r="L4" s="1064"/>
      <c r="M4" s="1126" t="s">
        <v>388</v>
      </c>
      <c r="N4" s="1063"/>
      <c r="O4" s="1063"/>
      <c r="P4" s="1063"/>
      <c r="Q4" s="1063"/>
      <c r="R4" s="1064"/>
      <c r="S4" s="1126" t="s">
        <v>157</v>
      </c>
      <c r="T4" s="1063"/>
      <c r="U4" s="1063"/>
      <c r="V4" s="1063"/>
      <c r="W4" s="1063"/>
      <c r="X4" s="1064"/>
      <c r="Y4" s="1062" t="s">
        <v>419</v>
      </c>
      <c r="Z4" s="1063"/>
      <c r="AA4" s="1063"/>
      <c r="AB4" s="1063"/>
      <c r="AC4" s="1064"/>
      <c r="AD4" s="919"/>
    </row>
    <row r="5" spans="1:113" ht="88.5" customHeight="1">
      <c r="A5" s="1180"/>
      <c r="B5" s="1177"/>
      <c r="C5" s="760" t="s">
        <v>413</v>
      </c>
      <c r="D5" s="751" t="s">
        <v>415</v>
      </c>
      <c r="E5" s="1061" t="s">
        <v>414</v>
      </c>
      <c r="F5" s="1057"/>
      <c r="G5" s="760" t="s">
        <v>413</v>
      </c>
      <c r="H5" s="751" t="s">
        <v>415</v>
      </c>
      <c r="I5" s="1054" t="s">
        <v>408</v>
      </c>
      <c r="J5" s="1054"/>
      <c r="K5" s="1061" t="s">
        <v>414</v>
      </c>
      <c r="L5" s="1057"/>
      <c r="M5" s="753" t="s">
        <v>413</v>
      </c>
      <c r="N5" s="751" t="s">
        <v>415</v>
      </c>
      <c r="O5" s="1054" t="s">
        <v>407</v>
      </c>
      <c r="P5" s="1054"/>
      <c r="Q5" s="1061" t="s">
        <v>414</v>
      </c>
      <c r="R5" s="1057"/>
      <c r="S5" s="753" t="s">
        <v>413</v>
      </c>
      <c r="T5" s="751" t="s">
        <v>415</v>
      </c>
      <c r="U5" s="1054" t="s">
        <v>409</v>
      </c>
      <c r="V5" s="1054"/>
      <c r="W5" s="1061" t="s">
        <v>414</v>
      </c>
      <c r="X5" s="1098"/>
      <c r="Y5" s="760" t="s">
        <v>413</v>
      </c>
      <c r="Z5" s="751" t="s">
        <v>415</v>
      </c>
      <c r="AA5" s="52" t="s">
        <v>389</v>
      </c>
      <c r="AB5" s="1061" t="str">
        <f>K5</f>
        <v xml:space="preserve"> плановий період 2017 рік            </v>
      </c>
      <c r="AC5" s="1057"/>
    </row>
    <row r="6" spans="1:113" ht="35.25" customHeight="1" thickBot="1">
      <c r="A6" s="1181"/>
      <c r="B6" s="1178"/>
      <c r="C6" s="780" t="s">
        <v>170</v>
      </c>
      <c r="D6" s="275" t="s">
        <v>170</v>
      </c>
      <c r="E6" s="275" t="s">
        <v>170</v>
      </c>
      <c r="F6" s="616" t="s">
        <v>77</v>
      </c>
      <c r="G6" s="780" t="s">
        <v>170</v>
      </c>
      <c r="H6" s="275" t="s">
        <v>170</v>
      </c>
      <c r="I6" s="275" t="s">
        <v>170</v>
      </c>
      <c r="J6" s="275" t="s">
        <v>392</v>
      </c>
      <c r="K6" s="275" t="s">
        <v>170</v>
      </c>
      <c r="L6" s="616" t="s">
        <v>392</v>
      </c>
      <c r="M6" s="772" t="s">
        <v>170</v>
      </c>
      <c r="N6" s="766" t="s">
        <v>170</v>
      </c>
      <c r="O6" s="766" t="s">
        <v>170</v>
      </c>
      <c r="P6" s="766" t="s">
        <v>392</v>
      </c>
      <c r="Q6" s="766" t="s">
        <v>170</v>
      </c>
      <c r="R6" s="617" t="s">
        <v>392</v>
      </c>
      <c r="S6" s="772" t="s">
        <v>170</v>
      </c>
      <c r="T6" s="766" t="s">
        <v>170</v>
      </c>
      <c r="U6" s="766" t="s">
        <v>170</v>
      </c>
      <c r="V6" s="766" t="s">
        <v>392</v>
      </c>
      <c r="W6" s="766" t="s">
        <v>170</v>
      </c>
      <c r="X6" s="664" t="s">
        <v>392</v>
      </c>
      <c r="Y6" s="662" t="s">
        <v>170</v>
      </c>
      <c r="Z6" s="766" t="s">
        <v>170</v>
      </c>
      <c r="AA6" s="766" t="s">
        <v>77</v>
      </c>
      <c r="AB6" s="766" t="s">
        <v>170</v>
      </c>
      <c r="AC6" s="617" t="s">
        <v>77</v>
      </c>
    </row>
    <row r="7" spans="1:113" ht="13.5" customHeight="1" thickBot="1">
      <c r="A7" s="940">
        <v>1</v>
      </c>
      <c r="B7" s="952">
        <v>2</v>
      </c>
      <c r="C7" s="669">
        <v>3</v>
      </c>
      <c r="D7" s="782">
        <v>4</v>
      </c>
      <c r="E7" s="783">
        <v>5</v>
      </c>
      <c r="F7" s="667">
        <v>6</v>
      </c>
      <c r="G7" s="672">
        <v>7</v>
      </c>
      <c r="H7" s="783">
        <v>8</v>
      </c>
      <c r="I7" s="783">
        <v>9</v>
      </c>
      <c r="J7" s="783">
        <v>10</v>
      </c>
      <c r="K7" s="783">
        <v>11</v>
      </c>
      <c r="L7" s="667">
        <v>12</v>
      </c>
      <c r="M7" s="666">
        <v>13</v>
      </c>
      <c r="N7" s="783">
        <v>14</v>
      </c>
      <c r="O7" s="782">
        <v>15</v>
      </c>
      <c r="P7" s="782">
        <v>16</v>
      </c>
      <c r="Q7" s="782">
        <v>17</v>
      </c>
      <c r="R7" s="668">
        <v>18</v>
      </c>
      <c r="S7" s="784">
        <v>19</v>
      </c>
      <c r="T7" s="782">
        <v>20</v>
      </c>
      <c r="U7" s="782">
        <v>21</v>
      </c>
      <c r="V7" s="782">
        <v>22</v>
      </c>
      <c r="W7" s="782">
        <v>23</v>
      </c>
      <c r="X7" s="670">
        <v>24</v>
      </c>
      <c r="Y7" s="669">
        <v>25</v>
      </c>
      <c r="Z7" s="782">
        <v>26</v>
      </c>
      <c r="AA7" s="782">
        <v>27</v>
      </c>
      <c r="AB7" s="782">
        <v>28</v>
      </c>
      <c r="AC7" s="668">
        <v>29</v>
      </c>
    </row>
    <row r="8" spans="1:113" s="285" customFormat="1" ht="21.95" customHeight="1">
      <c r="A8" s="941">
        <v>1</v>
      </c>
      <c r="B8" s="953" t="s">
        <v>29</v>
      </c>
      <c r="C8" s="803">
        <f>C10+C18+C21+C24</f>
        <v>444.4</v>
      </c>
      <c r="D8" s="809">
        <f>D10+D18+D21+D24</f>
        <v>377.75</v>
      </c>
      <c r="E8" s="809">
        <f>E9+E24</f>
        <v>651.9</v>
      </c>
      <c r="F8" s="925">
        <f>F9+F24</f>
        <v>2.75</v>
      </c>
      <c r="G8" s="803">
        <f t="shared" ref="G8:AC8" si="0">G10+G18+G21+G24</f>
        <v>373.42</v>
      </c>
      <c r="H8" s="804">
        <f t="shared" si="0"/>
        <v>321.3</v>
      </c>
      <c r="I8" s="804">
        <f>I10+I18+I21+I24+0.01</f>
        <v>417.46</v>
      </c>
      <c r="J8" s="804">
        <f t="shared" si="0"/>
        <v>2.04</v>
      </c>
      <c r="K8" s="804">
        <f t="shared" si="0"/>
        <v>559.77</v>
      </c>
      <c r="L8" s="805">
        <f t="shared" si="0"/>
        <v>2.75</v>
      </c>
      <c r="M8" s="809">
        <f t="shared" si="0"/>
        <v>60.64</v>
      </c>
      <c r="N8" s="920">
        <f t="shared" si="0"/>
        <v>47.29</v>
      </c>
      <c r="O8" s="803">
        <f>O10+O18+O21+O24+0.01</f>
        <v>55.4</v>
      </c>
      <c r="P8" s="804">
        <f>P10+P18+P21+P24-0.01</f>
        <v>2.0299999999999998</v>
      </c>
      <c r="Q8" s="804">
        <f t="shared" si="0"/>
        <v>72.95</v>
      </c>
      <c r="R8" s="805">
        <f t="shared" si="0"/>
        <v>2.75</v>
      </c>
      <c r="S8" s="809">
        <f t="shared" si="0"/>
        <v>9.89</v>
      </c>
      <c r="T8" s="920">
        <f t="shared" si="0"/>
        <v>7.26</v>
      </c>
      <c r="U8" s="803">
        <f t="shared" si="0"/>
        <v>18.18</v>
      </c>
      <c r="V8" s="804">
        <f t="shared" si="0"/>
        <v>2.04</v>
      </c>
      <c r="W8" s="805">
        <f t="shared" si="0"/>
        <v>19.010000000000002</v>
      </c>
      <c r="X8" s="925">
        <f t="shared" si="0"/>
        <v>2.75</v>
      </c>
      <c r="Y8" s="803">
        <f t="shared" si="0"/>
        <v>0.1</v>
      </c>
      <c r="Z8" s="920">
        <f t="shared" si="0"/>
        <v>0.08</v>
      </c>
      <c r="AA8" s="803">
        <f>AA10+AA18+AA21+AA24-0.01</f>
        <v>2.0299999999999998</v>
      </c>
      <c r="AB8" s="804">
        <f t="shared" si="0"/>
        <v>0.17</v>
      </c>
      <c r="AC8" s="805">
        <f t="shared" si="0"/>
        <v>2.75</v>
      </c>
      <c r="AD8" s="846">
        <f>K8+Q8+W8+AB8-E8</f>
        <v>0</v>
      </c>
    </row>
    <row r="9" spans="1:113" s="285" customFormat="1" ht="21.95" customHeight="1">
      <c r="A9" s="942"/>
      <c r="B9" s="954" t="s">
        <v>271</v>
      </c>
      <c r="C9" s="831">
        <f t="shared" ref="C9:AC9" si="1">C10+C18+C21</f>
        <v>436.71</v>
      </c>
      <c r="D9" s="283">
        <f t="shared" si="1"/>
        <v>371.61</v>
      </c>
      <c r="E9" s="283">
        <f t="shared" si="1"/>
        <v>647.97</v>
      </c>
      <c r="F9" s="388">
        <f t="shared" si="1"/>
        <v>2.74</v>
      </c>
      <c r="G9" s="831">
        <f t="shared" si="1"/>
        <v>366.95</v>
      </c>
      <c r="H9" s="283">
        <f t="shared" si="1"/>
        <v>316.04000000000002</v>
      </c>
      <c r="I9" s="283">
        <f t="shared" si="1"/>
        <v>416.32</v>
      </c>
      <c r="J9" s="283">
        <f t="shared" si="1"/>
        <v>2.0299999999999998</v>
      </c>
      <c r="K9" s="283">
        <f t="shared" si="1"/>
        <v>556.4</v>
      </c>
      <c r="L9" s="838">
        <f t="shared" si="1"/>
        <v>2.74</v>
      </c>
      <c r="M9" s="844">
        <f t="shared" si="1"/>
        <v>59.58</v>
      </c>
      <c r="N9" s="921">
        <f t="shared" si="1"/>
        <v>46.52</v>
      </c>
      <c r="O9" s="384">
        <f>O10+O18+O21+0.01</f>
        <v>55.25</v>
      </c>
      <c r="P9" s="283">
        <f t="shared" si="1"/>
        <v>2.0299999999999998</v>
      </c>
      <c r="Q9" s="283">
        <f t="shared" si="1"/>
        <v>72.510000000000005</v>
      </c>
      <c r="R9" s="838">
        <f t="shared" si="1"/>
        <v>2.74</v>
      </c>
      <c r="S9" s="930">
        <f t="shared" si="1"/>
        <v>9.73</v>
      </c>
      <c r="T9" s="921">
        <f t="shared" si="1"/>
        <v>7.15</v>
      </c>
      <c r="U9" s="384">
        <f t="shared" si="1"/>
        <v>18.13</v>
      </c>
      <c r="V9" s="283">
        <f t="shared" si="1"/>
        <v>2.0299999999999998</v>
      </c>
      <c r="W9" s="388">
        <f t="shared" si="1"/>
        <v>18.89</v>
      </c>
      <c r="X9" s="838">
        <f t="shared" si="1"/>
        <v>2.74</v>
      </c>
      <c r="Y9" s="384">
        <f t="shared" si="1"/>
        <v>0.1</v>
      </c>
      <c r="Z9" s="921">
        <f t="shared" si="1"/>
        <v>0.08</v>
      </c>
      <c r="AA9" s="384">
        <v>1.75</v>
      </c>
      <c r="AB9" s="283">
        <f t="shared" si="1"/>
        <v>0.17</v>
      </c>
      <c r="AC9" s="388">
        <f t="shared" si="1"/>
        <v>2.74</v>
      </c>
      <c r="AD9" s="846">
        <f t="shared" ref="AD9:AD63" si="2">K9+Q9+W9+AB9-E9</f>
        <v>0</v>
      </c>
    </row>
    <row r="10" spans="1:113" s="285" customFormat="1" ht="21.95" customHeight="1">
      <c r="A10" s="942" t="s">
        <v>31</v>
      </c>
      <c r="B10" s="954" t="s">
        <v>433</v>
      </c>
      <c r="C10" s="831">
        <f t="shared" ref="C10:H10" si="3">SUM(C11:C13)</f>
        <v>0.68</v>
      </c>
      <c r="D10" s="283">
        <f t="shared" si="3"/>
        <v>2.06</v>
      </c>
      <c r="E10" s="283">
        <f t="shared" si="3"/>
        <v>162.19999999999999</v>
      </c>
      <c r="F10" s="388">
        <f t="shared" si="3"/>
        <v>0.68</v>
      </c>
      <c r="G10" s="831">
        <f t="shared" si="3"/>
        <v>0.19</v>
      </c>
      <c r="H10" s="283">
        <f t="shared" si="3"/>
        <v>0.15</v>
      </c>
      <c r="I10" s="283">
        <v>2.06</v>
      </c>
      <c r="J10" s="767">
        <f>I10/$I$57*1000</f>
        <v>0.01</v>
      </c>
      <c r="K10" s="283">
        <f>SUM(K11:K13)</f>
        <v>139.28</v>
      </c>
      <c r="L10" s="839">
        <f>K10/$K$57*1000</f>
        <v>0.68</v>
      </c>
      <c r="M10" s="844">
        <f>SUM(M11:M13)</f>
        <v>0.03</v>
      </c>
      <c r="N10" s="921">
        <f>SUM(N11:N13)</f>
        <v>0.02</v>
      </c>
      <c r="O10" s="390">
        <v>0.27</v>
      </c>
      <c r="P10" s="767">
        <f>O10/$O$57*1000</f>
        <v>0.01</v>
      </c>
      <c r="Q10" s="283">
        <f>SUM(Q11:Q13)</f>
        <v>18.149999999999999</v>
      </c>
      <c r="R10" s="839">
        <f>Q10/$Q$57*1000</f>
        <v>0.68</v>
      </c>
      <c r="S10" s="930">
        <f>SUM(S11:S13)</f>
        <v>0</v>
      </c>
      <c r="T10" s="921">
        <f>SUM(T11:T13)</f>
        <v>0</v>
      </c>
      <c r="U10" s="390">
        <f>'Додаток4 скор'!T15</f>
        <v>0.09</v>
      </c>
      <c r="V10" s="767">
        <f>U10/$U$57*1000</f>
        <v>0.01</v>
      </c>
      <c r="W10" s="388">
        <f>SUM(W11:W13)</f>
        <v>4.7300000000000004</v>
      </c>
      <c r="X10" s="839">
        <f>W10/$W$57*1000</f>
        <v>0.68</v>
      </c>
      <c r="Y10" s="384">
        <f>SUM(Y11:Y13)</f>
        <v>0</v>
      </c>
      <c r="Z10" s="921">
        <f>SUM(Z11:Z13)</f>
        <v>0</v>
      </c>
      <c r="AA10" s="390">
        <f>V10</f>
        <v>0.01</v>
      </c>
      <c r="AB10" s="283">
        <f>SUM(AB11:AB13)</f>
        <v>0.04</v>
      </c>
      <c r="AC10" s="388">
        <f>SUM(AC11:AC13)</f>
        <v>0.68</v>
      </c>
      <c r="AD10" s="846">
        <f t="shared" si="2"/>
        <v>0</v>
      </c>
    </row>
    <row r="11" spans="1:113" s="290" customFormat="1" ht="21.95" customHeight="1">
      <c r="A11" s="943" t="s">
        <v>33</v>
      </c>
      <c r="B11" s="893" t="s">
        <v>212</v>
      </c>
      <c r="C11" s="832">
        <v>0</v>
      </c>
      <c r="D11" s="286">
        <v>0</v>
      </c>
      <c r="E11" s="286">
        <v>0</v>
      </c>
      <c r="F11" s="937">
        <f>E11/$E$57*1000</f>
        <v>0</v>
      </c>
      <c r="G11" s="832">
        <f>$C11/$C$57*G$57</f>
        <v>0</v>
      </c>
      <c r="H11" s="286">
        <f>$D11/$D$57*H$57</f>
        <v>0</v>
      </c>
      <c r="I11" s="286"/>
      <c r="J11" s="799"/>
      <c r="K11" s="286">
        <f>$E11/$E$57*K$57</f>
        <v>0</v>
      </c>
      <c r="L11" s="840">
        <f>K11/$K$57*1000</f>
        <v>0</v>
      </c>
      <c r="M11" s="934">
        <f>$C11/$C$57*M$57</f>
        <v>0</v>
      </c>
      <c r="N11" s="922">
        <f>$D11/$D$57*N$57</f>
        <v>0</v>
      </c>
      <c r="O11" s="386"/>
      <c r="P11" s="799"/>
      <c r="Q11" s="286">
        <f>$E11/$E$57*Q$57</f>
        <v>0</v>
      </c>
      <c r="R11" s="840">
        <f t="shared" ref="R11:R17" si="4">Q11/$Q$57*1000</f>
        <v>0</v>
      </c>
      <c r="S11" s="926">
        <f>$C11/$C$57*S$57</f>
        <v>0</v>
      </c>
      <c r="T11" s="922">
        <f>$D11/$D$57*T$57</f>
        <v>0</v>
      </c>
      <c r="U11" s="386"/>
      <c r="V11" s="799"/>
      <c r="W11" s="748">
        <f t="shared" ref="W11:W17" si="5">$E11/$E$57*W$57</f>
        <v>0</v>
      </c>
      <c r="X11" s="840">
        <f t="shared" ref="X11:X17" si="6">W11/$W$57*1000</f>
        <v>0</v>
      </c>
      <c r="Y11" s="386">
        <f>$C11/$C$57*Y$57</f>
        <v>0</v>
      </c>
      <c r="Z11" s="922">
        <f>$D11/$D$57*Z$57</f>
        <v>0</v>
      </c>
      <c r="AA11" s="386"/>
      <c r="AB11" s="286">
        <f t="shared" ref="AB11:AB17" si="7">$E11/$E$57*AB$57</f>
        <v>0</v>
      </c>
      <c r="AC11" s="387">
        <f t="shared" ref="AC11:AC17" si="8">AB11/$AB$57*1000</f>
        <v>0</v>
      </c>
      <c r="AD11" s="846">
        <f t="shared" si="2"/>
        <v>0</v>
      </c>
    </row>
    <row r="12" spans="1:113" s="290" customFormat="1" ht="21.95" customHeight="1">
      <c r="A12" s="943" t="s">
        <v>34</v>
      </c>
      <c r="B12" s="893" t="s">
        <v>422</v>
      </c>
      <c r="C12" s="832">
        <f>0.13+0.089</f>
        <v>0.22</v>
      </c>
      <c r="D12" s="286">
        <f>0.11+0.06</f>
        <v>0.17</v>
      </c>
      <c r="E12" s="286">
        <v>0.7</v>
      </c>
      <c r="F12" s="937">
        <f t="shared" ref="F12:F54" si="9">E12/$E$57*1000</f>
        <v>0</v>
      </c>
      <c r="G12" s="832">
        <f>$C12/$C$57*G$57</f>
        <v>0.19</v>
      </c>
      <c r="H12" s="286">
        <f>$D12/$D$57*H$57</f>
        <v>0.15</v>
      </c>
      <c r="I12" s="286"/>
      <c r="J12" s="799"/>
      <c r="K12" s="286">
        <f>$E12/$E$57*K$57</f>
        <v>0.6</v>
      </c>
      <c r="L12" s="840">
        <f>K12/$K$57*1000</f>
        <v>0</v>
      </c>
      <c r="M12" s="934">
        <f>$C12/$C$57*M$57</f>
        <v>0.03</v>
      </c>
      <c r="N12" s="922">
        <f>$D12/$D$57*N$57</f>
        <v>0.02</v>
      </c>
      <c r="O12" s="391"/>
      <c r="P12" s="799"/>
      <c r="Q12" s="286">
        <f t="shared" ref="Q12:Q17" si="10">$E12/$E$57*Q$57</f>
        <v>0.08</v>
      </c>
      <c r="R12" s="840">
        <f t="shared" si="4"/>
        <v>0</v>
      </c>
      <c r="S12" s="926">
        <f>$C12/$C$57*S$57</f>
        <v>0</v>
      </c>
      <c r="T12" s="922">
        <f>$D12/$D$57*T$57</f>
        <v>0</v>
      </c>
      <c r="U12" s="391"/>
      <c r="V12" s="799"/>
      <c r="W12" s="748">
        <f t="shared" si="5"/>
        <v>0.02</v>
      </c>
      <c r="X12" s="840">
        <f t="shared" si="6"/>
        <v>0</v>
      </c>
      <c r="Y12" s="386">
        <f>$C12/$C$57*Y$57</f>
        <v>0</v>
      </c>
      <c r="Z12" s="922">
        <f>$D12/$D$57*Z$57</f>
        <v>0</v>
      </c>
      <c r="AA12" s="391"/>
      <c r="AB12" s="286">
        <f t="shared" si="7"/>
        <v>0</v>
      </c>
      <c r="AC12" s="387">
        <f t="shared" si="8"/>
        <v>0</v>
      </c>
      <c r="AD12" s="846">
        <f t="shared" si="2"/>
        <v>0</v>
      </c>
    </row>
    <row r="13" spans="1:113" s="290" customFormat="1" ht="21.95" customHeight="1">
      <c r="A13" s="943" t="s">
        <v>35</v>
      </c>
      <c r="B13" s="893" t="s">
        <v>450</v>
      </c>
      <c r="C13" s="832">
        <f>0.27+0.19</f>
        <v>0.46</v>
      </c>
      <c r="D13" s="286">
        <v>1.89</v>
      </c>
      <c r="E13" s="286">
        <f>E14+E15+E16+E17</f>
        <v>161.5</v>
      </c>
      <c r="F13" s="748">
        <f>F14+F15+F16+F17</f>
        <v>0.68</v>
      </c>
      <c r="G13" s="386">
        <f t="shared" ref="G13:AC13" si="11">G14+G15+G16+G17</f>
        <v>0</v>
      </c>
      <c r="H13" s="286">
        <f t="shared" si="11"/>
        <v>0</v>
      </c>
      <c r="I13" s="286">
        <f t="shared" si="11"/>
        <v>0</v>
      </c>
      <c r="J13" s="286">
        <f t="shared" si="11"/>
        <v>0</v>
      </c>
      <c r="K13" s="286">
        <f t="shared" si="11"/>
        <v>138.68</v>
      </c>
      <c r="L13" s="748">
        <f t="shared" si="11"/>
        <v>0.68</v>
      </c>
      <c r="M13" s="926">
        <f t="shared" si="11"/>
        <v>0</v>
      </c>
      <c r="N13" s="922">
        <f t="shared" si="11"/>
        <v>0</v>
      </c>
      <c r="O13" s="386">
        <f t="shared" si="11"/>
        <v>0</v>
      </c>
      <c r="P13" s="286">
        <f t="shared" si="11"/>
        <v>0</v>
      </c>
      <c r="Q13" s="286">
        <f t="shared" si="11"/>
        <v>18.07</v>
      </c>
      <c r="R13" s="748">
        <f t="shared" si="11"/>
        <v>0.68</v>
      </c>
      <c r="S13" s="926">
        <f t="shared" si="11"/>
        <v>0</v>
      </c>
      <c r="T13" s="922">
        <f t="shared" si="11"/>
        <v>0</v>
      </c>
      <c r="U13" s="386">
        <f t="shared" si="11"/>
        <v>0</v>
      </c>
      <c r="V13" s="286">
        <f t="shared" si="11"/>
        <v>0</v>
      </c>
      <c r="W13" s="748">
        <f t="shared" si="11"/>
        <v>4.71</v>
      </c>
      <c r="X13" s="926">
        <f t="shared" si="11"/>
        <v>0.68</v>
      </c>
      <c r="Y13" s="286">
        <f t="shared" si="11"/>
        <v>0</v>
      </c>
      <c r="Z13" s="922">
        <f t="shared" si="11"/>
        <v>0</v>
      </c>
      <c r="AA13" s="386">
        <f t="shared" si="11"/>
        <v>0</v>
      </c>
      <c r="AB13" s="286">
        <f t="shared" si="11"/>
        <v>0.04</v>
      </c>
      <c r="AC13" s="748">
        <f t="shared" si="11"/>
        <v>0.68</v>
      </c>
      <c r="AD13" s="846">
        <f t="shared" si="2"/>
        <v>0</v>
      </c>
    </row>
    <row r="14" spans="1:113" s="678" customFormat="1" ht="18.75" customHeight="1">
      <c r="A14" s="944"/>
      <c r="B14" s="895" t="s">
        <v>436</v>
      </c>
      <c r="C14" s="819"/>
      <c r="D14" s="319"/>
      <c r="E14" s="373">
        <v>0</v>
      </c>
      <c r="F14" s="937">
        <f t="shared" si="9"/>
        <v>0</v>
      </c>
      <c r="G14" s="832">
        <f>$C14/$C$57*G$57</f>
        <v>0</v>
      </c>
      <c r="H14" s="286">
        <f>$D14/$D$57*H$57</f>
        <v>0</v>
      </c>
      <c r="I14" s="373"/>
      <c r="J14" s="756"/>
      <c r="K14" s="286">
        <f>$E14/$E$57*K$57</f>
        <v>0</v>
      </c>
      <c r="L14" s="840">
        <f>K14/$K$57*1000</f>
        <v>0</v>
      </c>
      <c r="M14" s="934">
        <f>$C14/$C$57*M$57</f>
        <v>0</v>
      </c>
      <c r="N14" s="922">
        <f>$D14/$D$57*N$57</f>
        <v>0</v>
      </c>
      <c r="O14" s="407"/>
      <c r="P14" s="373"/>
      <c r="Q14" s="286">
        <f t="shared" si="10"/>
        <v>0</v>
      </c>
      <c r="R14" s="840">
        <f t="shared" si="4"/>
        <v>0</v>
      </c>
      <c r="S14" s="926">
        <f>$C14/$C$57*S$57</f>
        <v>0</v>
      </c>
      <c r="T14" s="922">
        <f>$D14/$D$57*T$57</f>
        <v>0</v>
      </c>
      <c r="U14" s="407"/>
      <c r="V14" s="373"/>
      <c r="W14" s="748">
        <f t="shared" si="5"/>
        <v>0</v>
      </c>
      <c r="X14" s="840">
        <f t="shared" si="6"/>
        <v>0</v>
      </c>
      <c r="Y14" s="386">
        <f>$C14/$C$57*Y$57</f>
        <v>0</v>
      </c>
      <c r="Z14" s="922">
        <f>$D14/$D$57*Z$57</f>
        <v>0</v>
      </c>
      <c r="AA14" s="407"/>
      <c r="AB14" s="286">
        <f t="shared" si="7"/>
        <v>0</v>
      </c>
      <c r="AC14" s="387">
        <f t="shared" si="8"/>
        <v>0</v>
      </c>
      <c r="AD14" s="846">
        <f t="shared" si="2"/>
        <v>0</v>
      </c>
      <c r="AF14" s="684"/>
      <c r="AG14" s="684"/>
      <c r="AH14" s="685"/>
      <c r="AI14" s="685"/>
      <c r="AJ14" s="685"/>
      <c r="AK14" s="684"/>
      <c r="AL14" s="686"/>
      <c r="AM14" s="686"/>
      <c r="AN14" s="686"/>
      <c r="AQ14" s="679"/>
      <c r="AR14" s="679"/>
      <c r="AS14" s="679"/>
      <c r="AT14" s="679"/>
      <c r="AU14" s="679"/>
      <c r="AV14" s="679"/>
      <c r="AW14" s="679"/>
      <c r="AX14" s="679"/>
      <c r="AY14" s="679"/>
      <c r="AZ14" s="679"/>
      <c r="BA14" s="679"/>
      <c r="BB14" s="679"/>
      <c r="BC14" s="679"/>
      <c r="BD14" s="679"/>
      <c r="BE14" s="679"/>
      <c r="BF14" s="679"/>
      <c r="BG14" s="679"/>
      <c r="BH14" s="679"/>
      <c r="BI14" s="679"/>
      <c r="BJ14" s="679"/>
      <c r="BK14" s="679"/>
      <c r="BL14" s="679"/>
      <c r="BM14" s="679"/>
      <c r="BN14" s="679"/>
      <c r="BO14" s="679"/>
      <c r="BP14" s="679"/>
      <c r="BQ14" s="679"/>
      <c r="BR14" s="679"/>
      <c r="BS14" s="679"/>
      <c r="BT14" s="679"/>
      <c r="BU14" s="679"/>
      <c r="BV14" s="679"/>
      <c r="BW14" s="679"/>
      <c r="BX14" s="679"/>
      <c r="BY14" s="679"/>
      <c r="BZ14" s="679"/>
      <c r="CA14" s="679"/>
      <c r="CB14" s="679"/>
      <c r="CC14" s="679"/>
      <c r="CD14" s="679"/>
      <c r="CE14" s="679"/>
      <c r="CF14" s="679"/>
      <c r="CG14" s="679"/>
      <c r="CH14" s="679"/>
      <c r="CI14" s="679"/>
      <c r="CJ14" s="679"/>
      <c r="CK14" s="679"/>
      <c r="CL14" s="679"/>
      <c r="CM14" s="679"/>
      <c r="CN14" s="679"/>
      <c r="CO14" s="679"/>
      <c r="CP14" s="679"/>
      <c r="CQ14" s="679"/>
      <c r="CR14" s="679"/>
      <c r="CS14" s="679"/>
      <c r="CT14" s="679"/>
      <c r="CU14" s="679"/>
      <c r="CV14" s="679"/>
      <c r="CW14" s="679"/>
      <c r="CX14" s="679"/>
      <c r="CY14" s="679"/>
      <c r="CZ14" s="679"/>
      <c r="DA14" s="679"/>
      <c r="DB14" s="679"/>
      <c r="DC14" s="679"/>
      <c r="DD14" s="679"/>
      <c r="DE14" s="679"/>
      <c r="DF14" s="679"/>
      <c r="DG14" s="679"/>
      <c r="DH14" s="679"/>
      <c r="DI14" s="679"/>
    </row>
    <row r="15" spans="1:113" s="678" customFormat="1" ht="24" customHeight="1">
      <c r="A15" s="944"/>
      <c r="B15" s="895" t="s">
        <v>437</v>
      </c>
      <c r="C15" s="819"/>
      <c r="D15" s="319"/>
      <c r="E15" s="373">
        <v>161.5</v>
      </c>
      <c r="F15" s="937">
        <f t="shared" si="9"/>
        <v>0.68</v>
      </c>
      <c r="G15" s="832">
        <f>$C15/$C$57*G$57</f>
        <v>0</v>
      </c>
      <c r="H15" s="286">
        <f>$D15/$D$57*H$57</f>
        <v>0</v>
      </c>
      <c r="I15" s="373"/>
      <c r="J15" s="756"/>
      <c r="K15" s="286">
        <f>$E15/$E$57*K$57</f>
        <v>138.68</v>
      </c>
      <c r="L15" s="840">
        <f>K15/$K$57*1000</f>
        <v>0.68</v>
      </c>
      <c r="M15" s="934">
        <f>$C15/$C$57*M$57</f>
        <v>0</v>
      </c>
      <c r="N15" s="922">
        <f>$D15/$D$57*N$57</f>
        <v>0</v>
      </c>
      <c r="O15" s="407"/>
      <c r="P15" s="373"/>
      <c r="Q15" s="286">
        <f t="shared" si="10"/>
        <v>18.07</v>
      </c>
      <c r="R15" s="840">
        <f t="shared" si="4"/>
        <v>0.68</v>
      </c>
      <c r="S15" s="926">
        <f>$C15/$C$57*S$57</f>
        <v>0</v>
      </c>
      <c r="T15" s="922">
        <f>$D15/$D$57*T$57</f>
        <v>0</v>
      </c>
      <c r="U15" s="407"/>
      <c r="V15" s="373"/>
      <c r="W15" s="748">
        <f t="shared" si="5"/>
        <v>4.71</v>
      </c>
      <c r="X15" s="840">
        <f t="shared" si="6"/>
        <v>0.68</v>
      </c>
      <c r="Y15" s="386">
        <f>$C15/$C$57*Y$57</f>
        <v>0</v>
      </c>
      <c r="Z15" s="922">
        <f>$D15/$D$57*Z$57</f>
        <v>0</v>
      </c>
      <c r="AA15" s="407"/>
      <c r="AB15" s="286">
        <f t="shared" si="7"/>
        <v>0.04</v>
      </c>
      <c r="AC15" s="387">
        <f>AB15/$AB$57*1000+0.02</f>
        <v>0.68</v>
      </c>
      <c r="AD15" s="846">
        <f t="shared" si="2"/>
        <v>0</v>
      </c>
      <c r="AF15" s="684"/>
      <c r="AG15" s="684"/>
      <c r="AH15" s="685"/>
      <c r="AI15" s="685"/>
      <c r="AJ15" s="685"/>
      <c r="AK15" s="684"/>
      <c r="AL15" s="686"/>
      <c r="AM15" s="686"/>
      <c r="AN15" s="686"/>
      <c r="AQ15" s="679"/>
      <c r="AR15" s="679"/>
      <c r="AS15" s="679"/>
      <c r="AT15" s="679"/>
      <c r="AU15" s="679"/>
      <c r="AV15" s="679"/>
      <c r="AW15" s="679"/>
      <c r="AX15" s="679"/>
      <c r="AY15" s="679"/>
      <c r="AZ15" s="679"/>
      <c r="BA15" s="679"/>
      <c r="BB15" s="679"/>
      <c r="BC15" s="679"/>
      <c r="BD15" s="679"/>
      <c r="BE15" s="679"/>
      <c r="BF15" s="679"/>
      <c r="BG15" s="679"/>
      <c r="BH15" s="679"/>
      <c r="BI15" s="679"/>
      <c r="BJ15" s="679"/>
      <c r="BK15" s="679"/>
      <c r="BL15" s="679"/>
      <c r="BM15" s="679"/>
      <c r="BN15" s="679"/>
      <c r="BO15" s="679"/>
      <c r="BP15" s="679"/>
      <c r="BQ15" s="679"/>
      <c r="BR15" s="679"/>
      <c r="BS15" s="679"/>
      <c r="BT15" s="679"/>
      <c r="BU15" s="679"/>
      <c r="BV15" s="679"/>
      <c r="BW15" s="679"/>
      <c r="BX15" s="679"/>
      <c r="BY15" s="679"/>
      <c r="BZ15" s="679"/>
      <c r="CA15" s="679"/>
      <c r="CB15" s="679"/>
      <c r="CC15" s="679"/>
      <c r="CD15" s="679"/>
      <c r="CE15" s="679"/>
      <c r="CF15" s="679"/>
      <c r="CG15" s="679"/>
      <c r="CH15" s="679"/>
      <c r="CI15" s="679"/>
      <c r="CJ15" s="679"/>
      <c r="CK15" s="679"/>
      <c r="CL15" s="679"/>
      <c r="CM15" s="679"/>
      <c r="CN15" s="679"/>
      <c r="CO15" s="679"/>
      <c r="CP15" s="679"/>
      <c r="CQ15" s="679"/>
      <c r="CR15" s="679"/>
      <c r="CS15" s="679"/>
      <c r="CT15" s="679"/>
      <c r="CU15" s="679"/>
      <c r="CV15" s="679"/>
      <c r="CW15" s="679"/>
      <c r="CX15" s="679"/>
      <c r="CY15" s="679"/>
      <c r="CZ15" s="679"/>
      <c r="DA15" s="679"/>
      <c r="DB15" s="679"/>
      <c r="DC15" s="679"/>
      <c r="DD15" s="679"/>
      <c r="DE15" s="679"/>
      <c r="DF15" s="679"/>
      <c r="DG15" s="679"/>
      <c r="DH15" s="679"/>
      <c r="DI15" s="679"/>
    </row>
    <row r="16" spans="1:113" s="678" customFormat="1" ht="24" customHeight="1">
      <c r="A16" s="944"/>
      <c r="B16" s="895" t="s">
        <v>438</v>
      </c>
      <c r="C16" s="819"/>
      <c r="D16" s="319"/>
      <c r="E16" s="373">
        <v>0</v>
      </c>
      <c r="F16" s="937">
        <f t="shared" si="9"/>
        <v>0</v>
      </c>
      <c r="G16" s="832">
        <f>$C16/$C$57*G$57</f>
        <v>0</v>
      </c>
      <c r="H16" s="286">
        <f>$D16/$D$57*H$57</f>
        <v>0</v>
      </c>
      <c r="I16" s="373"/>
      <c r="J16" s="756"/>
      <c r="K16" s="286">
        <f>$E16/$E$57*K$57</f>
        <v>0</v>
      </c>
      <c r="L16" s="840">
        <f>K16/$K$57*1000</f>
        <v>0</v>
      </c>
      <c r="M16" s="934">
        <f>$C16/$C$57*M$57</f>
        <v>0</v>
      </c>
      <c r="N16" s="922">
        <f>$D16/$D$57*N$57</f>
        <v>0</v>
      </c>
      <c r="O16" s="407"/>
      <c r="P16" s="373"/>
      <c r="Q16" s="286">
        <f t="shared" si="10"/>
        <v>0</v>
      </c>
      <c r="R16" s="840">
        <f t="shared" si="4"/>
        <v>0</v>
      </c>
      <c r="S16" s="926">
        <f>$C16/$C$57*S$57</f>
        <v>0</v>
      </c>
      <c r="T16" s="922">
        <f>$D16/$D$57*T$57</f>
        <v>0</v>
      </c>
      <c r="U16" s="407"/>
      <c r="V16" s="373"/>
      <c r="W16" s="748">
        <f t="shared" si="5"/>
        <v>0</v>
      </c>
      <c r="X16" s="840">
        <f t="shared" si="6"/>
        <v>0</v>
      </c>
      <c r="Y16" s="386">
        <f>$C16/$C$57*Y$57</f>
        <v>0</v>
      </c>
      <c r="Z16" s="922">
        <f>$D16/$D$57*Z$57</f>
        <v>0</v>
      </c>
      <c r="AA16" s="407"/>
      <c r="AB16" s="286">
        <f t="shared" si="7"/>
        <v>0</v>
      </c>
      <c r="AC16" s="387">
        <f t="shared" si="8"/>
        <v>0</v>
      </c>
      <c r="AD16" s="846">
        <f t="shared" si="2"/>
        <v>0</v>
      </c>
      <c r="AF16" s="684"/>
      <c r="AG16" s="684"/>
      <c r="AH16" s="685"/>
      <c r="AI16" s="685"/>
      <c r="AJ16" s="685"/>
      <c r="AK16" s="684"/>
      <c r="AL16" s="686"/>
      <c r="AM16" s="686"/>
      <c r="AN16" s="686"/>
      <c r="AQ16" s="679"/>
      <c r="AR16" s="679"/>
      <c r="AS16" s="679"/>
      <c r="AT16" s="679"/>
      <c r="AU16" s="679"/>
      <c r="AV16" s="679"/>
      <c r="AW16" s="679"/>
      <c r="AX16" s="679"/>
      <c r="AY16" s="679"/>
      <c r="AZ16" s="679"/>
      <c r="BA16" s="679"/>
      <c r="BB16" s="679"/>
      <c r="BC16" s="679"/>
      <c r="BD16" s="679"/>
      <c r="BE16" s="679"/>
      <c r="BF16" s="679"/>
      <c r="BG16" s="679"/>
      <c r="BH16" s="679"/>
      <c r="BI16" s="679"/>
      <c r="BJ16" s="679"/>
      <c r="BK16" s="679"/>
      <c r="BL16" s="679"/>
      <c r="BM16" s="679"/>
      <c r="BN16" s="679"/>
      <c r="BO16" s="679"/>
      <c r="BP16" s="679"/>
      <c r="BQ16" s="679"/>
      <c r="BR16" s="679"/>
      <c r="BS16" s="679"/>
      <c r="BT16" s="679"/>
      <c r="BU16" s="679"/>
      <c r="BV16" s="679"/>
      <c r="BW16" s="679"/>
      <c r="BX16" s="679"/>
      <c r="BY16" s="679"/>
      <c r="BZ16" s="679"/>
      <c r="CA16" s="679"/>
      <c r="CB16" s="679"/>
      <c r="CC16" s="679"/>
      <c r="CD16" s="679"/>
      <c r="CE16" s="679"/>
      <c r="CF16" s="679"/>
      <c r="CG16" s="679"/>
      <c r="CH16" s="679"/>
      <c r="CI16" s="679"/>
      <c r="CJ16" s="679"/>
      <c r="CK16" s="679"/>
      <c r="CL16" s="679"/>
      <c r="CM16" s="679"/>
      <c r="CN16" s="679"/>
      <c r="CO16" s="679"/>
      <c r="CP16" s="679"/>
      <c r="CQ16" s="679"/>
      <c r="CR16" s="679"/>
      <c r="CS16" s="679"/>
      <c r="CT16" s="679"/>
      <c r="CU16" s="679"/>
      <c r="CV16" s="679"/>
      <c r="CW16" s="679"/>
      <c r="CX16" s="679"/>
      <c r="CY16" s="679"/>
      <c r="CZ16" s="679"/>
      <c r="DA16" s="679"/>
      <c r="DB16" s="679"/>
      <c r="DC16" s="679"/>
      <c r="DD16" s="679"/>
      <c r="DE16" s="679"/>
      <c r="DF16" s="679"/>
      <c r="DG16" s="679"/>
      <c r="DH16" s="679"/>
      <c r="DI16" s="679"/>
    </row>
    <row r="17" spans="1:113" s="678" customFormat="1" ht="36" customHeight="1">
      <c r="A17" s="944"/>
      <c r="B17" s="895" t="s">
        <v>439</v>
      </c>
      <c r="C17" s="819"/>
      <c r="D17" s="319"/>
      <c r="E17" s="373">
        <v>0</v>
      </c>
      <c r="F17" s="937">
        <f t="shared" si="9"/>
        <v>0</v>
      </c>
      <c r="G17" s="832">
        <f>$C17/$C$57*G$57</f>
        <v>0</v>
      </c>
      <c r="H17" s="286">
        <f>$D17/$D$57*H$57</f>
        <v>0</v>
      </c>
      <c r="I17" s="373"/>
      <c r="J17" s="756"/>
      <c r="K17" s="286">
        <f>$E17/$E$57*K$57</f>
        <v>0</v>
      </c>
      <c r="L17" s="840">
        <f>K17/$K$57*1000</f>
        <v>0</v>
      </c>
      <c r="M17" s="934">
        <f>$C17/$C$57*M$57</f>
        <v>0</v>
      </c>
      <c r="N17" s="922">
        <f>$D17/$D$57*N$57</f>
        <v>0</v>
      </c>
      <c r="O17" s="407"/>
      <c r="P17" s="373"/>
      <c r="Q17" s="286">
        <f t="shared" si="10"/>
        <v>0</v>
      </c>
      <c r="R17" s="840">
        <f t="shared" si="4"/>
        <v>0</v>
      </c>
      <c r="S17" s="926">
        <f>$C17/$C$57*S$57</f>
        <v>0</v>
      </c>
      <c r="T17" s="922">
        <f>$D17/$D$57*T$57</f>
        <v>0</v>
      </c>
      <c r="U17" s="407"/>
      <c r="V17" s="373"/>
      <c r="W17" s="748">
        <f t="shared" si="5"/>
        <v>0</v>
      </c>
      <c r="X17" s="840">
        <f t="shared" si="6"/>
        <v>0</v>
      </c>
      <c r="Y17" s="386">
        <f>$C17/$C$57*Y$57</f>
        <v>0</v>
      </c>
      <c r="Z17" s="922">
        <f>$D17/$D$57*Z$57</f>
        <v>0</v>
      </c>
      <c r="AA17" s="407"/>
      <c r="AB17" s="286">
        <f t="shared" si="7"/>
        <v>0</v>
      </c>
      <c r="AC17" s="387">
        <f t="shared" si="8"/>
        <v>0</v>
      </c>
      <c r="AD17" s="846">
        <f t="shared" si="2"/>
        <v>0</v>
      </c>
      <c r="AF17" s="684"/>
      <c r="AG17" s="684"/>
      <c r="AH17" s="685"/>
      <c r="AI17" s="685"/>
      <c r="AJ17" s="685"/>
      <c r="AK17" s="684"/>
      <c r="AL17" s="686"/>
      <c r="AM17" s="686"/>
      <c r="AN17" s="686"/>
      <c r="AQ17" s="679"/>
      <c r="AR17" s="679"/>
      <c r="AS17" s="679"/>
      <c r="AT17" s="679"/>
      <c r="AU17" s="679"/>
      <c r="AV17" s="679"/>
      <c r="AW17" s="679"/>
      <c r="AX17" s="679"/>
      <c r="AY17" s="679"/>
      <c r="AZ17" s="679"/>
      <c r="BA17" s="679"/>
      <c r="BB17" s="679"/>
      <c r="BC17" s="679"/>
      <c r="BD17" s="679"/>
      <c r="BE17" s="679"/>
      <c r="BF17" s="679"/>
      <c r="BG17" s="679"/>
      <c r="BH17" s="679"/>
      <c r="BI17" s="679"/>
      <c r="BJ17" s="679"/>
      <c r="BK17" s="679"/>
      <c r="BL17" s="679"/>
      <c r="BM17" s="679"/>
      <c r="BN17" s="679"/>
      <c r="BO17" s="679"/>
      <c r="BP17" s="679"/>
      <c r="BQ17" s="679"/>
      <c r="BR17" s="679"/>
      <c r="BS17" s="679"/>
      <c r="BT17" s="679"/>
      <c r="BU17" s="679"/>
      <c r="BV17" s="679"/>
      <c r="BW17" s="679"/>
      <c r="BX17" s="679"/>
      <c r="BY17" s="679"/>
      <c r="BZ17" s="679"/>
      <c r="CA17" s="679"/>
      <c r="CB17" s="679"/>
      <c r="CC17" s="679"/>
      <c r="CD17" s="679"/>
      <c r="CE17" s="679"/>
      <c r="CF17" s="679"/>
      <c r="CG17" s="679"/>
      <c r="CH17" s="679"/>
      <c r="CI17" s="679"/>
      <c r="CJ17" s="679"/>
      <c r="CK17" s="679"/>
      <c r="CL17" s="679"/>
      <c r="CM17" s="679"/>
      <c r="CN17" s="679"/>
      <c r="CO17" s="679"/>
      <c r="CP17" s="679"/>
      <c r="CQ17" s="679"/>
      <c r="CR17" s="679"/>
      <c r="CS17" s="679"/>
      <c r="CT17" s="679"/>
      <c r="CU17" s="679"/>
      <c r="CV17" s="679"/>
      <c r="CW17" s="679"/>
      <c r="CX17" s="679"/>
      <c r="CY17" s="679"/>
      <c r="CZ17" s="679"/>
      <c r="DA17" s="679"/>
      <c r="DB17" s="679"/>
      <c r="DC17" s="679"/>
      <c r="DD17" s="679"/>
      <c r="DE17" s="679"/>
      <c r="DF17" s="679"/>
      <c r="DG17" s="679"/>
      <c r="DH17" s="679"/>
      <c r="DI17" s="679"/>
    </row>
    <row r="18" spans="1:113" s="383" customFormat="1" ht="64.5" customHeight="1">
      <c r="A18" s="945" t="s">
        <v>40</v>
      </c>
      <c r="B18" s="900" t="s">
        <v>342</v>
      </c>
      <c r="C18" s="831">
        <f>SUM(C19:C20)</f>
        <v>307.02</v>
      </c>
      <c r="D18" s="283">
        <f>SUM(D19:D20)</f>
        <v>241.2</v>
      </c>
      <c r="E18" s="283">
        <f>SUM(E19:E20)</f>
        <v>330.52</v>
      </c>
      <c r="F18" s="388">
        <f>SUM(F19:F20)</f>
        <v>1.4</v>
      </c>
      <c r="G18" s="831">
        <f>G19+G20</f>
        <v>258.24</v>
      </c>
      <c r="H18" s="283">
        <f>H19+H20</f>
        <v>206.18</v>
      </c>
      <c r="I18" s="283">
        <f>I19+I20</f>
        <v>316.52</v>
      </c>
      <c r="J18" s="767">
        <f t="shared" ref="J18:J23" si="12">I18/$I$57*1000</f>
        <v>1.54</v>
      </c>
      <c r="K18" s="283">
        <f>K19+K20</f>
        <v>283.81</v>
      </c>
      <c r="L18" s="838">
        <f>L19+L20</f>
        <v>1.4</v>
      </c>
      <c r="M18" s="844">
        <f>M19+M20</f>
        <v>41.93</v>
      </c>
      <c r="N18" s="921">
        <f>N19+N20</f>
        <v>30.35</v>
      </c>
      <c r="O18" s="384">
        <f>O19+O20</f>
        <v>42</v>
      </c>
      <c r="P18" s="767">
        <f t="shared" ref="P18:P23" si="13">O18/$O$57*1000</f>
        <v>1.54</v>
      </c>
      <c r="Q18" s="283">
        <f>Q19+Q20</f>
        <v>36.99</v>
      </c>
      <c r="R18" s="838">
        <f>R19+R20</f>
        <v>1.4</v>
      </c>
      <c r="S18" s="930">
        <f>S19+S20</f>
        <v>6.85</v>
      </c>
      <c r="T18" s="921">
        <f>T19+T20</f>
        <v>4.66</v>
      </c>
      <c r="U18" s="384">
        <f>U19+U20-0.01</f>
        <v>13.78</v>
      </c>
      <c r="V18" s="767">
        <f t="shared" ref="V18:V23" si="14">U18/$U$57*1000</f>
        <v>1.54</v>
      </c>
      <c r="W18" s="388">
        <f>W19+W20</f>
        <v>9.6300000000000008</v>
      </c>
      <c r="X18" s="838">
        <f>X19+X20</f>
        <v>1.4</v>
      </c>
      <c r="Y18" s="384">
        <f>Y19+Y20</f>
        <v>7.0000000000000007E-2</v>
      </c>
      <c r="Z18" s="921">
        <f>Z19+Z20</f>
        <v>0.05</v>
      </c>
      <c r="AA18" s="384">
        <f>AA19+AA20</f>
        <v>1.54</v>
      </c>
      <c r="AB18" s="283">
        <f>SUM(AB19:AB20)</f>
        <v>0.09</v>
      </c>
      <c r="AC18" s="388">
        <f>SUM(AC19:AC20)</f>
        <v>1.4</v>
      </c>
      <c r="AD18" s="846">
        <f t="shared" si="2"/>
        <v>0</v>
      </c>
    </row>
    <row r="19" spans="1:113" s="290" customFormat="1" ht="21.95" customHeight="1">
      <c r="A19" s="946" t="s">
        <v>343</v>
      </c>
      <c r="B19" s="955" t="s">
        <v>41</v>
      </c>
      <c r="C19" s="842">
        <v>224</v>
      </c>
      <c r="D19" s="821">
        <v>197.62</v>
      </c>
      <c r="E19" s="286">
        <v>270.92</v>
      </c>
      <c r="F19" s="937">
        <f>E19/$E$57*1000+0.01</f>
        <v>1.1499999999999999</v>
      </c>
      <c r="G19" s="832">
        <f>$C19/$C$57*G$57</f>
        <v>188.41</v>
      </c>
      <c r="H19" s="286">
        <f>$D19/$D$57*H$57</f>
        <v>168.93</v>
      </c>
      <c r="I19" s="286">
        <v>259.44</v>
      </c>
      <c r="J19" s="799">
        <f t="shared" si="12"/>
        <v>1.26</v>
      </c>
      <c r="K19" s="286">
        <f>$E19/$E$57*K$57</f>
        <v>232.63</v>
      </c>
      <c r="L19" s="840">
        <f>K19/$K$57*1000+0.01</f>
        <v>1.1499999999999999</v>
      </c>
      <c r="M19" s="934">
        <f>$C19/$C$57*M$57</f>
        <v>30.59</v>
      </c>
      <c r="N19" s="922">
        <f>$D19/$D$57*N$57</f>
        <v>24.87</v>
      </c>
      <c r="O19" s="391">
        <v>34.43</v>
      </c>
      <c r="P19" s="799">
        <f t="shared" si="13"/>
        <v>1.26</v>
      </c>
      <c r="Q19" s="286">
        <f>$E19/$E$57*Q$57</f>
        <v>30.32</v>
      </c>
      <c r="R19" s="840">
        <f>Q19/$Q$57*1000+0.01</f>
        <v>1.1499999999999999</v>
      </c>
      <c r="S19" s="926">
        <f>$C19/$C$57*S$57</f>
        <v>5</v>
      </c>
      <c r="T19" s="922">
        <f>$D19/$D$57*T$57</f>
        <v>3.82</v>
      </c>
      <c r="U19" s="391">
        <v>11.3</v>
      </c>
      <c r="V19" s="799">
        <f t="shared" si="14"/>
        <v>1.26</v>
      </c>
      <c r="W19" s="748">
        <f>$E19/$E$57*W$57</f>
        <v>7.9</v>
      </c>
      <c r="X19" s="840">
        <f>W19/$W$57*1000+0.01</f>
        <v>1.1499999999999999</v>
      </c>
      <c r="Y19" s="386">
        <f>$C19/$C$57*Y$57</f>
        <v>0.05</v>
      </c>
      <c r="Z19" s="922">
        <f>$D19/$D$57*Z$57</f>
        <v>0.04</v>
      </c>
      <c r="AA19" s="391">
        <v>1.26</v>
      </c>
      <c r="AB19" s="286">
        <f>$E19/$E$57*AB$57</f>
        <v>7.0000000000000007E-2</v>
      </c>
      <c r="AC19" s="387">
        <f>AB19/$AB$57*1000</f>
        <v>1.1499999999999999</v>
      </c>
      <c r="AD19" s="846">
        <f t="shared" si="2"/>
        <v>0</v>
      </c>
    </row>
    <row r="20" spans="1:113" s="288" customFormat="1" ht="21.95" customHeight="1">
      <c r="A20" s="946" t="s">
        <v>344</v>
      </c>
      <c r="B20" s="955" t="s">
        <v>45</v>
      </c>
      <c r="C20" s="843">
        <v>83.02</v>
      </c>
      <c r="D20" s="821">
        <v>43.58</v>
      </c>
      <c r="E20" s="286">
        <v>59.6</v>
      </c>
      <c r="F20" s="937">
        <f t="shared" si="9"/>
        <v>0.25</v>
      </c>
      <c r="G20" s="832">
        <f>$C20/$C$57*G$57</f>
        <v>69.83</v>
      </c>
      <c r="H20" s="286">
        <f>$D20/$D$57*H$57</f>
        <v>37.25</v>
      </c>
      <c r="I20" s="286">
        <v>57.08</v>
      </c>
      <c r="J20" s="799">
        <f t="shared" si="12"/>
        <v>0.28000000000000003</v>
      </c>
      <c r="K20" s="286">
        <f>$E20/$E$57*K$57</f>
        <v>51.18</v>
      </c>
      <c r="L20" s="840">
        <f>K20/$K$57*1000</f>
        <v>0.25</v>
      </c>
      <c r="M20" s="934">
        <f>$C20/$C$57*M$57</f>
        <v>11.34</v>
      </c>
      <c r="N20" s="922">
        <f>$D20/$D$57*N$57</f>
        <v>5.48</v>
      </c>
      <c r="O20" s="391">
        <v>7.57</v>
      </c>
      <c r="P20" s="799">
        <f t="shared" si="13"/>
        <v>0.28000000000000003</v>
      </c>
      <c r="Q20" s="286">
        <f>$E20/$E$57*Q$57</f>
        <v>6.67</v>
      </c>
      <c r="R20" s="840">
        <f>Q20/$Q$57*1000</f>
        <v>0.25</v>
      </c>
      <c r="S20" s="926">
        <f>$C20/$C$57*S$57</f>
        <v>1.85</v>
      </c>
      <c r="T20" s="922">
        <f>$D20/$D$57*T$57</f>
        <v>0.84</v>
      </c>
      <c r="U20" s="391">
        <v>2.4900000000000002</v>
      </c>
      <c r="V20" s="799">
        <f t="shared" si="14"/>
        <v>0.28000000000000003</v>
      </c>
      <c r="W20" s="748">
        <f>$E20/$E$57*W$57-0.01</f>
        <v>1.73</v>
      </c>
      <c r="X20" s="840">
        <f>W20/$W$57*1000</f>
        <v>0.25</v>
      </c>
      <c r="Y20" s="386">
        <f>$C20/$C$57*Y$57</f>
        <v>0.02</v>
      </c>
      <c r="Z20" s="922">
        <f>$D20/$D$57*Z$57</f>
        <v>0.01</v>
      </c>
      <c r="AA20" s="391">
        <v>0.28000000000000003</v>
      </c>
      <c r="AB20" s="286">
        <f>$E20/$E$57*AB$57</f>
        <v>0.02</v>
      </c>
      <c r="AC20" s="387">
        <f>AB20/$AB$57*1000-0.08</f>
        <v>0.25</v>
      </c>
      <c r="AD20" s="846">
        <f t="shared" si="2"/>
        <v>0</v>
      </c>
    </row>
    <row r="21" spans="1:113" s="285" customFormat="1" ht="21.95" customHeight="1">
      <c r="A21" s="942" t="s">
        <v>42</v>
      </c>
      <c r="B21" s="954" t="s">
        <v>146</v>
      </c>
      <c r="C21" s="831">
        <f t="shared" ref="C21:H21" si="15">SUM(C22:C23)</f>
        <v>129.01</v>
      </c>
      <c r="D21" s="283">
        <f t="shared" si="15"/>
        <v>128.35</v>
      </c>
      <c r="E21" s="283">
        <f t="shared" si="15"/>
        <v>155.25</v>
      </c>
      <c r="F21" s="388">
        <f t="shared" si="15"/>
        <v>0.66</v>
      </c>
      <c r="G21" s="831">
        <f t="shared" si="15"/>
        <v>108.52</v>
      </c>
      <c r="H21" s="283">
        <f t="shared" si="15"/>
        <v>109.71</v>
      </c>
      <c r="I21" s="283">
        <f>I22+I23-0.01</f>
        <v>97.74</v>
      </c>
      <c r="J21" s="767">
        <f t="shared" si="12"/>
        <v>0.48</v>
      </c>
      <c r="K21" s="283">
        <f>K22+K23</f>
        <v>133.31</v>
      </c>
      <c r="L21" s="838">
        <f>L22+L23</f>
        <v>0.66</v>
      </c>
      <c r="M21" s="844">
        <f>M22+M23</f>
        <v>17.62</v>
      </c>
      <c r="N21" s="921">
        <f>N22+N23</f>
        <v>16.149999999999999</v>
      </c>
      <c r="O21" s="384">
        <f>O22+O23</f>
        <v>12.97</v>
      </c>
      <c r="P21" s="767">
        <f t="shared" si="13"/>
        <v>0.48</v>
      </c>
      <c r="Q21" s="283">
        <f>Q22+Q23</f>
        <v>17.37</v>
      </c>
      <c r="R21" s="838">
        <f>R22+R23</f>
        <v>0.66</v>
      </c>
      <c r="S21" s="930">
        <f>S22+S23</f>
        <v>2.88</v>
      </c>
      <c r="T21" s="921">
        <f>T22+T23</f>
        <v>2.4900000000000002</v>
      </c>
      <c r="U21" s="384">
        <f>U22+U23</f>
        <v>4.26</v>
      </c>
      <c r="V21" s="767">
        <f t="shared" si="14"/>
        <v>0.48</v>
      </c>
      <c r="W21" s="388">
        <f t="shared" ref="W21:AC21" si="16">W22+W23</f>
        <v>4.53</v>
      </c>
      <c r="X21" s="838">
        <f t="shared" si="16"/>
        <v>0.66</v>
      </c>
      <c r="Y21" s="384">
        <f t="shared" si="16"/>
        <v>0.03</v>
      </c>
      <c r="Z21" s="921">
        <f t="shared" si="16"/>
        <v>0.03</v>
      </c>
      <c r="AA21" s="384">
        <f t="shared" si="16"/>
        <v>0.48</v>
      </c>
      <c r="AB21" s="283">
        <f t="shared" si="16"/>
        <v>0.04</v>
      </c>
      <c r="AC21" s="388">
        <f t="shared" si="16"/>
        <v>0.66</v>
      </c>
      <c r="AD21" s="846">
        <f t="shared" si="2"/>
        <v>0</v>
      </c>
    </row>
    <row r="22" spans="1:113" s="288" customFormat="1" ht="21.95" customHeight="1">
      <c r="A22" s="943" t="s">
        <v>46</v>
      </c>
      <c r="B22" s="955" t="s">
        <v>47</v>
      </c>
      <c r="C22" s="843">
        <v>0.28000000000000003</v>
      </c>
      <c r="D22" s="821">
        <v>0.8</v>
      </c>
      <c r="E22" s="286">
        <v>2</v>
      </c>
      <c r="F22" s="937">
        <f t="shared" si="9"/>
        <v>0.01</v>
      </c>
      <c r="G22" s="832">
        <f>$C22/$C$57*G$57</f>
        <v>0.24</v>
      </c>
      <c r="H22" s="286">
        <f>$D22/$D$57*H$57</f>
        <v>0.68</v>
      </c>
      <c r="I22" s="286">
        <v>0.13</v>
      </c>
      <c r="J22" s="799">
        <f t="shared" si="12"/>
        <v>0</v>
      </c>
      <c r="K22" s="286">
        <f>$E22/$E$57*K$57</f>
        <v>1.72</v>
      </c>
      <c r="L22" s="840">
        <f>K22/$K$57*1000</f>
        <v>0.01</v>
      </c>
      <c r="M22" s="934">
        <f>$C22/$C$57*M$57</f>
        <v>0.04</v>
      </c>
      <c r="N22" s="922">
        <f>$D22/$D$57*N$57</f>
        <v>0.1</v>
      </c>
      <c r="O22" s="391">
        <v>0.02</v>
      </c>
      <c r="P22" s="799">
        <f t="shared" si="13"/>
        <v>0</v>
      </c>
      <c r="Q22" s="286">
        <f>$E22/$E$57*Q$57</f>
        <v>0.22</v>
      </c>
      <c r="R22" s="840">
        <f>Q22/$Q$57*1000</f>
        <v>0.01</v>
      </c>
      <c r="S22" s="926">
        <f>$C22/$C$57*S$57</f>
        <v>0.01</v>
      </c>
      <c r="T22" s="922">
        <f>$D22/$D$57*T$57</f>
        <v>0.02</v>
      </c>
      <c r="U22" s="391">
        <v>0.01</v>
      </c>
      <c r="V22" s="799">
        <f t="shared" si="14"/>
        <v>0</v>
      </c>
      <c r="W22" s="748">
        <f>$E22/$E$57*W$57</f>
        <v>0.06</v>
      </c>
      <c r="X22" s="840">
        <f>W22/$W$57*1000</f>
        <v>0.01</v>
      </c>
      <c r="Y22" s="386">
        <f>$C22/$C$57*Y$57</f>
        <v>0</v>
      </c>
      <c r="Z22" s="922">
        <f>$D22/$D$57*Z$57</f>
        <v>0</v>
      </c>
      <c r="AA22" s="391">
        <f>V22</f>
        <v>0</v>
      </c>
      <c r="AB22" s="286">
        <f>$E22/$E$57*AB$57</f>
        <v>0</v>
      </c>
      <c r="AC22" s="387">
        <f>AB22/$AB$57*1000+0.01</f>
        <v>0.01</v>
      </c>
      <c r="AD22" s="846">
        <f t="shared" si="2"/>
        <v>0</v>
      </c>
    </row>
    <row r="23" spans="1:113" s="288" customFormat="1" ht="21.95" customHeight="1">
      <c r="A23" s="943" t="s">
        <v>48</v>
      </c>
      <c r="B23" s="893" t="s">
        <v>447</v>
      </c>
      <c r="C23" s="843">
        <v>128.72999999999999</v>
      </c>
      <c r="D23" s="821">
        <v>127.55</v>
      </c>
      <c r="E23" s="286">
        <v>153.25</v>
      </c>
      <c r="F23" s="937">
        <f t="shared" si="9"/>
        <v>0.65</v>
      </c>
      <c r="G23" s="832">
        <f>$C23/$C$57*G$57</f>
        <v>108.28</v>
      </c>
      <c r="H23" s="286">
        <f>$D23/$D$57*H$57</f>
        <v>109.03</v>
      </c>
      <c r="I23" s="286">
        <v>97.62</v>
      </c>
      <c r="J23" s="799">
        <f t="shared" si="12"/>
        <v>0.48</v>
      </c>
      <c r="K23" s="286">
        <f>$E23/$E$57*K$57</f>
        <v>131.59</v>
      </c>
      <c r="L23" s="840">
        <f>K23/$K$57*1000</f>
        <v>0.65</v>
      </c>
      <c r="M23" s="934">
        <f>$C23/$C$57*M$57</f>
        <v>17.579999999999998</v>
      </c>
      <c r="N23" s="922">
        <f>$D23/$D$57*N$57</f>
        <v>16.05</v>
      </c>
      <c r="O23" s="391">
        <v>12.95</v>
      </c>
      <c r="P23" s="799">
        <f t="shared" si="13"/>
        <v>0.48</v>
      </c>
      <c r="Q23" s="286">
        <f>$E23/$E$57*Q$57</f>
        <v>17.149999999999999</v>
      </c>
      <c r="R23" s="840">
        <f>Q23/$Q$57*1000</f>
        <v>0.65</v>
      </c>
      <c r="S23" s="926">
        <f>$C23/$C$57*S$57</f>
        <v>2.87</v>
      </c>
      <c r="T23" s="922">
        <f>$D23/$D$57*T$57</f>
        <v>2.4700000000000002</v>
      </c>
      <c r="U23" s="391">
        <v>4.25</v>
      </c>
      <c r="V23" s="799">
        <f t="shared" si="14"/>
        <v>0.48</v>
      </c>
      <c r="W23" s="748">
        <f>$E23/$E$57*W$57</f>
        <v>4.47</v>
      </c>
      <c r="X23" s="840">
        <f>W23/$W$57*1000</f>
        <v>0.65</v>
      </c>
      <c r="Y23" s="386">
        <f>$C23/$C$57*Y$57</f>
        <v>0.03</v>
      </c>
      <c r="Z23" s="922">
        <f>$D23/$D$57*Z$57</f>
        <v>0.03</v>
      </c>
      <c r="AA23" s="391">
        <v>0.48</v>
      </c>
      <c r="AB23" s="286">
        <f>$E23/$E$57*AB$57</f>
        <v>0.04</v>
      </c>
      <c r="AC23" s="387">
        <f>AB23/$AB$57*1000-0.01</f>
        <v>0.65</v>
      </c>
      <c r="AD23" s="846">
        <f t="shared" si="2"/>
        <v>0</v>
      </c>
    </row>
    <row r="24" spans="1:113" s="285" customFormat="1" ht="21.95" customHeight="1">
      <c r="A24" s="942" t="s">
        <v>50</v>
      </c>
      <c r="B24" s="954" t="s">
        <v>148</v>
      </c>
      <c r="C24" s="831">
        <f t="shared" ref="C24:H24" si="17">C25+C29+C32+C33</f>
        <v>7.69</v>
      </c>
      <c r="D24" s="283">
        <f t="shared" si="17"/>
        <v>6.14</v>
      </c>
      <c r="E24" s="283">
        <f t="shared" si="17"/>
        <v>3.93</v>
      </c>
      <c r="F24" s="388">
        <f t="shared" si="17"/>
        <v>0.01</v>
      </c>
      <c r="G24" s="831">
        <f t="shared" si="17"/>
        <v>6.47</v>
      </c>
      <c r="H24" s="283">
        <f t="shared" si="17"/>
        <v>5.26</v>
      </c>
      <c r="I24" s="767">
        <f>I29+I33-0.01</f>
        <v>1.1299999999999999</v>
      </c>
      <c r="J24" s="767">
        <f>J29+J33</f>
        <v>0.01</v>
      </c>
      <c r="K24" s="283">
        <f>K25+K29+K32+K33</f>
        <v>3.37</v>
      </c>
      <c r="L24" s="838">
        <f>L25+L29+L32+L33</f>
        <v>0.01</v>
      </c>
      <c r="M24" s="844">
        <f>M25+M29+M32+M33</f>
        <v>1.06</v>
      </c>
      <c r="N24" s="921">
        <f>N25+N29+N32+N33</f>
        <v>0.77</v>
      </c>
      <c r="O24" s="390">
        <f>O29+O33+0.01</f>
        <v>0.15</v>
      </c>
      <c r="P24" s="767">
        <f>P29+P33+0.01</f>
        <v>0.01</v>
      </c>
      <c r="Q24" s="283">
        <f>Q25+Q29+Q32+Q33</f>
        <v>0.44</v>
      </c>
      <c r="R24" s="838">
        <f>R25+R29+R32+R33</f>
        <v>0.01</v>
      </c>
      <c r="S24" s="930">
        <f>S25+S29+S32+S33</f>
        <v>0.16</v>
      </c>
      <c r="T24" s="921">
        <f>T25+T29+T32+T33</f>
        <v>0.11</v>
      </c>
      <c r="U24" s="390">
        <f>U29+U33</f>
        <v>0.05</v>
      </c>
      <c r="V24" s="767">
        <f>V29+V33</f>
        <v>0.01</v>
      </c>
      <c r="W24" s="388">
        <f>W25+W29+W32+W33</f>
        <v>0.12</v>
      </c>
      <c r="X24" s="838">
        <f>X25+X29+X32+X33</f>
        <v>0.01</v>
      </c>
      <c r="Y24" s="384">
        <f>Y25+Y29+Y32+Y33</f>
        <v>0</v>
      </c>
      <c r="Z24" s="921">
        <f>Z25+Z29+Z32+Z33</f>
        <v>0</v>
      </c>
      <c r="AA24" s="390">
        <f>AA29+AA33</f>
        <v>0.01</v>
      </c>
      <c r="AB24" s="283">
        <f>AB25+AB29+AB32+AB33</f>
        <v>0</v>
      </c>
      <c r="AC24" s="388">
        <f>AC25+AC29+AC32+AC33</f>
        <v>0.01</v>
      </c>
      <c r="AD24" s="846">
        <f t="shared" si="2"/>
        <v>0</v>
      </c>
    </row>
    <row r="25" spans="1:113" s="288" customFormat="1" ht="21.95" customHeight="1">
      <c r="A25" s="944" t="s">
        <v>52</v>
      </c>
      <c r="B25" s="897" t="s">
        <v>424</v>
      </c>
      <c r="C25" s="762">
        <f t="shared" ref="C25:H25" si="18">SUM(C26:C28)</f>
        <v>5.52</v>
      </c>
      <c r="D25" s="373">
        <f t="shared" si="18"/>
        <v>4.7300000000000004</v>
      </c>
      <c r="E25" s="373">
        <f>SUM(E26:E28)</f>
        <v>0</v>
      </c>
      <c r="F25" s="937">
        <f t="shared" si="9"/>
        <v>0</v>
      </c>
      <c r="G25" s="762">
        <f t="shared" si="18"/>
        <v>4.6399999999999997</v>
      </c>
      <c r="H25" s="373">
        <f t="shared" si="18"/>
        <v>4.05</v>
      </c>
      <c r="I25" s="756"/>
      <c r="J25" s="756"/>
      <c r="K25" s="373">
        <f>SUM(K26:K28)</f>
        <v>0</v>
      </c>
      <c r="L25" s="778">
        <f>SUM(L26:L28)</f>
        <v>0</v>
      </c>
      <c r="M25" s="752">
        <f>SUM(M26:M28)</f>
        <v>0.76</v>
      </c>
      <c r="N25" s="645">
        <f>SUM(N26:N28)</f>
        <v>0.59</v>
      </c>
      <c r="O25" s="410"/>
      <c r="P25" s="756"/>
      <c r="Q25" s="373">
        <f>SUM(Q26:Q28)</f>
        <v>0</v>
      </c>
      <c r="R25" s="778">
        <f>SUM(R26:R28)</f>
        <v>0</v>
      </c>
      <c r="S25" s="639">
        <f>SUM(S26:S28)</f>
        <v>0.12</v>
      </c>
      <c r="T25" s="645">
        <f>SUM(T26:T28)</f>
        <v>0.09</v>
      </c>
      <c r="U25" s="410"/>
      <c r="V25" s="756"/>
      <c r="W25" s="409">
        <f t="shared" ref="W25:AC25" si="19">SUM(W26:W28)</f>
        <v>0</v>
      </c>
      <c r="X25" s="778">
        <f t="shared" si="19"/>
        <v>0</v>
      </c>
      <c r="Y25" s="407">
        <f t="shared" si="19"/>
        <v>0</v>
      </c>
      <c r="Z25" s="645">
        <f t="shared" si="19"/>
        <v>0</v>
      </c>
      <c r="AA25" s="407">
        <f t="shared" si="19"/>
        <v>0</v>
      </c>
      <c r="AB25" s="373">
        <f t="shared" si="19"/>
        <v>0</v>
      </c>
      <c r="AC25" s="409">
        <f t="shared" si="19"/>
        <v>0</v>
      </c>
      <c r="AD25" s="846">
        <f t="shared" si="2"/>
        <v>0</v>
      </c>
      <c r="AE25" s="412"/>
      <c r="AF25" s="44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/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/>
      <c r="DE25" s="287"/>
    </row>
    <row r="26" spans="1:113" s="288" customFormat="1" ht="21.95" customHeight="1">
      <c r="A26" s="944" t="s">
        <v>346</v>
      </c>
      <c r="B26" s="893" t="s">
        <v>212</v>
      </c>
      <c r="C26" s="762">
        <v>5.47</v>
      </c>
      <c r="D26" s="373">
        <v>4.71</v>
      </c>
      <c r="E26" s="373">
        <v>0</v>
      </c>
      <c r="F26" s="937">
        <f t="shared" si="9"/>
        <v>0</v>
      </c>
      <c r="G26" s="832">
        <f>$C26/$C$57*G$57</f>
        <v>4.5999999999999996</v>
      </c>
      <c r="H26" s="286">
        <f>$D26/$D$57*H$57</f>
        <v>4.03</v>
      </c>
      <c r="I26" s="756"/>
      <c r="J26" s="756"/>
      <c r="K26" s="286">
        <f>$E26/$E$57*K$57</f>
        <v>0</v>
      </c>
      <c r="L26" s="840">
        <f>K26/$K$57*1000</f>
        <v>0</v>
      </c>
      <c r="M26" s="934">
        <f>$C26/$C$57*M$57</f>
        <v>0.75</v>
      </c>
      <c r="N26" s="922">
        <f>$D26/$D$57*N$57</f>
        <v>0.59</v>
      </c>
      <c r="O26" s="410"/>
      <c r="P26" s="756"/>
      <c r="Q26" s="286">
        <f>$E26/$E$57*Q$57</f>
        <v>0</v>
      </c>
      <c r="R26" s="840">
        <f>Q26/$Q$57*1000</f>
        <v>0</v>
      </c>
      <c r="S26" s="926">
        <f>$C26/$C$57*S$57</f>
        <v>0.12</v>
      </c>
      <c r="T26" s="922">
        <f>$D26/$D$57*T$57</f>
        <v>0.09</v>
      </c>
      <c r="U26" s="410"/>
      <c r="V26" s="756"/>
      <c r="W26" s="748">
        <f>$E26/$E$57*W$57</f>
        <v>0</v>
      </c>
      <c r="X26" s="840">
        <f>W26/$W$57*1000</f>
        <v>0</v>
      </c>
      <c r="Y26" s="386">
        <f>$C26/$C$57*Y$57</f>
        <v>0</v>
      </c>
      <c r="Z26" s="922">
        <f>$D26/$D$57*Z$57</f>
        <v>0</v>
      </c>
      <c r="AA26" s="410"/>
      <c r="AB26" s="286">
        <f>$E26/$E$57*AB$57</f>
        <v>0</v>
      </c>
      <c r="AC26" s="387">
        <f>AB26/$AB$57*1000</f>
        <v>0</v>
      </c>
      <c r="AD26" s="846">
        <f t="shared" si="2"/>
        <v>0</v>
      </c>
      <c r="AE26" s="412"/>
      <c r="AF26" s="44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  <c r="BV26" s="287"/>
      <c r="BW26" s="287"/>
      <c r="BX26" s="287"/>
      <c r="BY26" s="287"/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/>
      <c r="CK26" s="287"/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/>
      <c r="DB26" s="287"/>
      <c r="DC26" s="287"/>
      <c r="DD26" s="287"/>
      <c r="DE26" s="287"/>
    </row>
    <row r="27" spans="1:113" s="288" customFormat="1" ht="21.95" customHeight="1">
      <c r="A27" s="944" t="s">
        <v>347</v>
      </c>
      <c r="B27" s="893" t="s">
        <v>422</v>
      </c>
      <c r="C27" s="762">
        <v>0</v>
      </c>
      <c r="D27" s="373">
        <v>0</v>
      </c>
      <c r="E27" s="373">
        <v>0</v>
      </c>
      <c r="F27" s="937">
        <f t="shared" si="9"/>
        <v>0</v>
      </c>
      <c r="G27" s="832">
        <f>$C27/$C$57*G$57</f>
        <v>0</v>
      </c>
      <c r="H27" s="286">
        <f>$D27/$D$57*H$57</f>
        <v>0</v>
      </c>
      <c r="I27" s="756"/>
      <c r="J27" s="756"/>
      <c r="K27" s="286">
        <f>$E27/$E$57*K$57</f>
        <v>0</v>
      </c>
      <c r="L27" s="840">
        <f>K27/$K$57*1000</f>
        <v>0</v>
      </c>
      <c r="M27" s="934">
        <f>$C27/$C$57*M$57</f>
        <v>0</v>
      </c>
      <c r="N27" s="922">
        <f>$D27/$D$57*N$57</f>
        <v>0</v>
      </c>
      <c r="O27" s="410"/>
      <c r="P27" s="756"/>
      <c r="Q27" s="286">
        <f>$E27/$E$57*Q$57</f>
        <v>0</v>
      </c>
      <c r="R27" s="840">
        <f>Q27/$Q$57*1000</f>
        <v>0</v>
      </c>
      <c r="S27" s="926">
        <f>$C27/$C$57*S$57</f>
        <v>0</v>
      </c>
      <c r="T27" s="922">
        <f>$D27/$D$57*T$57</f>
        <v>0</v>
      </c>
      <c r="U27" s="410"/>
      <c r="V27" s="756"/>
      <c r="W27" s="748">
        <f>$E27/$E$57*W$57</f>
        <v>0</v>
      </c>
      <c r="X27" s="840">
        <f>W27/$W$57*1000</f>
        <v>0</v>
      </c>
      <c r="Y27" s="386">
        <f>$C27/$C$57*Y$57</f>
        <v>0</v>
      </c>
      <c r="Z27" s="922">
        <f>$D27/$D$57*Z$57</f>
        <v>0</v>
      </c>
      <c r="AA27" s="410"/>
      <c r="AB27" s="286">
        <f>$E27/$E$57*AB$57</f>
        <v>0</v>
      </c>
      <c r="AC27" s="387">
        <f>AB27/$AB$57*1000</f>
        <v>0</v>
      </c>
      <c r="AD27" s="846">
        <f t="shared" si="2"/>
        <v>0</v>
      </c>
      <c r="AE27" s="412"/>
      <c r="AF27" s="44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/>
      <c r="BO27" s="287"/>
      <c r="BP27" s="287"/>
      <c r="BQ27" s="287"/>
      <c r="BR27" s="287"/>
      <c r="BS27" s="287"/>
      <c r="BT27" s="287"/>
      <c r="BU27" s="287"/>
      <c r="BV27" s="287"/>
      <c r="BW27" s="287"/>
      <c r="BX27" s="287"/>
      <c r="BY27" s="287"/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/>
      <c r="CK27" s="287"/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/>
      <c r="DB27" s="287"/>
      <c r="DC27" s="287"/>
      <c r="DD27" s="287"/>
      <c r="DE27" s="287"/>
    </row>
    <row r="28" spans="1:113" s="288" customFormat="1" ht="21.95" customHeight="1">
      <c r="A28" s="944" t="s">
        <v>425</v>
      </c>
      <c r="B28" s="893" t="s">
        <v>423</v>
      </c>
      <c r="C28" s="762">
        <v>0.05</v>
      </c>
      <c r="D28" s="373">
        <v>0.02</v>
      </c>
      <c r="E28" s="373">
        <v>0</v>
      </c>
      <c r="F28" s="937">
        <f t="shared" si="9"/>
        <v>0</v>
      </c>
      <c r="G28" s="832">
        <f>$C28/$C$57*G$57</f>
        <v>0.04</v>
      </c>
      <c r="H28" s="286">
        <f>$D28/$D$57*H$57</f>
        <v>0.02</v>
      </c>
      <c r="I28" s="756"/>
      <c r="J28" s="756"/>
      <c r="K28" s="286">
        <f>$E28/$E$57*K$57</f>
        <v>0</v>
      </c>
      <c r="L28" s="840">
        <f>K28/$K$57*1000</f>
        <v>0</v>
      </c>
      <c r="M28" s="934">
        <f>$C28/$C$57*M$57</f>
        <v>0.01</v>
      </c>
      <c r="N28" s="922">
        <f>$D28/$D$57*N$57</f>
        <v>0</v>
      </c>
      <c r="O28" s="410"/>
      <c r="P28" s="756"/>
      <c r="Q28" s="286">
        <f>$E28/$E$57*Q$57</f>
        <v>0</v>
      </c>
      <c r="R28" s="840">
        <f>Q28/$Q$57*1000</f>
        <v>0</v>
      </c>
      <c r="S28" s="926">
        <f>$C28/$C$57*S$57</f>
        <v>0</v>
      </c>
      <c r="T28" s="922">
        <f>$D28/$D$57*T$57</f>
        <v>0</v>
      </c>
      <c r="U28" s="410"/>
      <c r="V28" s="756"/>
      <c r="W28" s="748">
        <f>$E28/$E$57*W$57</f>
        <v>0</v>
      </c>
      <c r="X28" s="840">
        <f>W28/$W$57*1000</f>
        <v>0</v>
      </c>
      <c r="Y28" s="386">
        <f>$C28/$C$57*Y$57</f>
        <v>0</v>
      </c>
      <c r="Z28" s="922">
        <f>$D28/$D$57*Z$57</f>
        <v>0</v>
      </c>
      <c r="AA28" s="410"/>
      <c r="AB28" s="286">
        <f>$E28/$E$57*AB$57</f>
        <v>0</v>
      </c>
      <c r="AC28" s="387">
        <f>AB28/$AB$57*1000</f>
        <v>0</v>
      </c>
      <c r="AD28" s="846">
        <f t="shared" si="2"/>
        <v>0</v>
      </c>
      <c r="AE28" s="412"/>
      <c r="AF28" s="44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/>
      <c r="DE28" s="287"/>
    </row>
    <row r="29" spans="1:113" s="290" customFormat="1" ht="54.75" customHeight="1">
      <c r="A29" s="947" t="s">
        <v>54</v>
      </c>
      <c r="B29" s="956" t="s">
        <v>345</v>
      </c>
      <c r="C29" s="832">
        <f t="shared" ref="C29:I29" si="20">SUM(C30:C31)</f>
        <v>1.89</v>
      </c>
      <c r="D29" s="286">
        <f t="shared" si="20"/>
        <v>1.1599999999999999</v>
      </c>
      <c r="E29" s="286">
        <f t="shared" si="20"/>
        <v>3.93</v>
      </c>
      <c r="F29" s="748">
        <f t="shared" si="20"/>
        <v>0.01</v>
      </c>
      <c r="G29" s="832">
        <f t="shared" si="20"/>
        <v>1.59</v>
      </c>
      <c r="H29" s="286">
        <f t="shared" si="20"/>
        <v>0.99</v>
      </c>
      <c r="I29" s="799">
        <f t="shared" si="20"/>
        <v>1.03</v>
      </c>
      <c r="J29" s="799">
        <f>I29/$I$57*1000</f>
        <v>0.01</v>
      </c>
      <c r="K29" s="286">
        <f>SUM(K30:K31)</f>
        <v>3.37</v>
      </c>
      <c r="L29" s="841">
        <f>SUM(L30:L31)</f>
        <v>0.01</v>
      </c>
      <c r="M29" s="934">
        <f>SUM(M30:M31)</f>
        <v>0.26</v>
      </c>
      <c r="N29" s="922">
        <f>SUM(N30:N31)</f>
        <v>0.15</v>
      </c>
      <c r="O29" s="391">
        <f>SUM(O30:O31)</f>
        <v>0.13</v>
      </c>
      <c r="P29" s="799">
        <f>O29/$O$57*1000</f>
        <v>0</v>
      </c>
      <c r="Q29" s="286">
        <f>SUM(Q30:Q31)</f>
        <v>0.44</v>
      </c>
      <c r="R29" s="841">
        <f>SUM(R30:R31)</f>
        <v>0.01</v>
      </c>
      <c r="S29" s="926">
        <f>SUM(S30:S31)</f>
        <v>0.04</v>
      </c>
      <c r="T29" s="922">
        <f>SUM(T30:T31)</f>
        <v>0.02</v>
      </c>
      <c r="U29" s="391">
        <f>SUM(U30:U31)</f>
        <v>0.05</v>
      </c>
      <c r="V29" s="799">
        <f>U29/$U$57*1000</f>
        <v>0.01</v>
      </c>
      <c r="W29" s="748">
        <f t="shared" ref="W29:AC29" si="21">SUM(W30:W31)</f>
        <v>0.12</v>
      </c>
      <c r="X29" s="841">
        <f t="shared" si="21"/>
        <v>0.01</v>
      </c>
      <c r="Y29" s="386">
        <f t="shared" si="21"/>
        <v>0</v>
      </c>
      <c r="Z29" s="922">
        <f t="shared" si="21"/>
        <v>0</v>
      </c>
      <c r="AA29" s="391">
        <f t="shared" si="21"/>
        <v>0.01</v>
      </c>
      <c r="AB29" s="286">
        <f t="shared" si="21"/>
        <v>0</v>
      </c>
      <c r="AC29" s="748">
        <f t="shared" si="21"/>
        <v>0.01</v>
      </c>
      <c r="AD29" s="846">
        <f t="shared" si="2"/>
        <v>0</v>
      </c>
    </row>
    <row r="30" spans="1:113" s="288" customFormat="1" ht="21.95" customHeight="1">
      <c r="A30" s="943" t="s">
        <v>430</v>
      </c>
      <c r="B30" s="957" t="s">
        <v>53</v>
      </c>
      <c r="C30" s="843">
        <v>1.39</v>
      </c>
      <c r="D30" s="821">
        <v>0.95</v>
      </c>
      <c r="E30" s="286">
        <f>260.63*1.234%</f>
        <v>3.22</v>
      </c>
      <c r="F30" s="937">
        <f t="shared" si="9"/>
        <v>0.01</v>
      </c>
      <c r="G30" s="832">
        <f>$C30/$C$57*G$57</f>
        <v>1.17</v>
      </c>
      <c r="H30" s="286">
        <f>$D30/$D$57*H$57</f>
        <v>0.81</v>
      </c>
      <c r="I30" s="286">
        <v>0.84</v>
      </c>
      <c r="J30" s="799">
        <f>I30/$I$57*1000</f>
        <v>0</v>
      </c>
      <c r="K30" s="286">
        <f>$E30/$E$57*K$57</f>
        <v>2.76</v>
      </c>
      <c r="L30" s="840">
        <f>K30/$K$57*1000</f>
        <v>0.01</v>
      </c>
      <c r="M30" s="934">
        <f>$C30/$C$57*M$57</f>
        <v>0.19</v>
      </c>
      <c r="N30" s="922">
        <f>$D30/$D$57*N$57</f>
        <v>0.12</v>
      </c>
      <c r="O30" s="386">
        <v>0.11</v>
      </c>
      <c r="P30" s="799">
        <f>O30/$O$57*1000</f>
        <v>0</v>
      </c>
      <c r="Q30" s="286">
        <f>$E30/$E$57*Q$57</f>
        <v>0.36</v>
      </c>
      <c r="R30" s="840">
        <f>Q30/$Q$57*1000</f>
        <v>0.01</v>
      </c>
      <c r="S30" s="926">
        <f>$C30/$C$57*S$57</f>
        <v>0.03</v>
      </c>
      <c r="T30" s="922">
        <f>$D30/$D$57*T$57</f>
        <v>0.02</v>
      </c>
      <c r="U30" s="386">
        <v>0.04</v>
      </c>
      <c r="V30" s="799">
        <f>U30/$U$57*1000</f>
        <v>0</v>
      </c>
      <c r="W30" s="748">
        <f>$E30/$E$57*W$57+0.01</f>
        <v>0.1</v>
      </c>
      <c r="X30" s="840">
        <f>W30/$W$57*1000</f>
        <v>0.01</v>
      </c>
      <c r="Y30" s="386">
        <f>$C30/$C$57*Y$57</f>
        <v>0</v>
      </c>
      <c r="Z30" s="922">
        <f>$D30/$D$57*Z$57</f>
        <v>0</v>
      </c>
      <c r="AA30" s="391">
        <v>0.01</v>
      </c>
      <c r="AB30" s="286">
        <f>$E30/$E$57*AB$57</f>
        <v>0</v>
      </c>
      <c r="AC30" s="387">
        <f>AB30/$AB$57*1000+0.01</f>
        <v>0.01</v>
      </c>
      <c r="AD30" s="846">
        <f t="shared" si="2"/>
        <v>0</v>
      </c>
    </row>
    <row r="31" spans="1:113" s="288" customFormat="1" ht="21.95" customHeight="1">
      <c r="A31" s="943" t="s">
        <v>431</v>
      </c>
      <c r="B31" s="957" t="s">
        <v>45</v>
      </c>
      <c r="C31" s="843">
        <v>0.5</v>
      </c>
      <c r="D31" s="821">
        <v>0.21</v>
      </c>
      <c r="E31" s="286">
        <f>57.34*1.234%</f>
        <v>0.71</v>
      </c>
      <c r="F31" s="937">
        <f t="shared" si="9"/>
        <v>0</v>
      </c>
      <c r="G31" s="832">
        <f>$C31/$C$57*G$57</f>
        <v>0.42</v>
      </c>
      <c r="H31" s="286">
        <f>$D31/$D$57*H$57</f>
        <v>0.18</v>
      </c>
      <c r="I31" s="286">
        <v>0.19</v>
      </c>
      <c r="J31" s="799">
        <f>I31/$I$57*1000</f>
        <v>0</v>
      </c>
      <c r="K31" s="286">
        <f>$E31/$E$57*K$57</f>
        <v>0.61</v>
      </c>
      <c r="L31" s="840">
        <f>K31/$K$57*1000</f>
        <v>0</v>
      </c>
      <c r="M31" s="934">
        <f>$C31/$C$57*M$57</f>
        <v>7.0000000000000007E-2</v>
      </c>
      <c r="N31" s="922">
        <f>$D31/$D$57*N$57</f>
        <v>0.03</v>
      </c>
      <c r="O31" s="386">
        <v>0.02</v>
      </c>
      <c r="P31" s="799">
        <f>O31/$O$57*1000</f>
        <v>0</v>
      </c>
      <c r="Q31" s="286">
        <f>$E31/$E$57*Q$57</f>
        <v>0.08</v>
      </c>
      <c r="R31" s="840">
        <f>Q31/$Q$57*1000</f>
        <v>0</v>
      </c>
      <c r="S31" s="926">
        <f>$C31/$C$57*S$57</f>
        <v>0.01</v>
      </c>
      <c r="T31" s="922">
        <f>$D31/$D$57*T$57</f>
        <v>0</v>
      </c>
      <c r="U31" s="386">
        <v>0.01</v>
      </c>
      <c r="V31" s="799">
        <f>U31/$U$57*1000</f>
        <v>0</v>
      </c>
      <c r="W31" s="748">
        <f>$E31/$E$57*W$57</f>
        <v>0.02</v>
      </c>
      <c r="X31" s="840">
        <f>W31/$W$57*1000</f>
        <v>0</v>
      </c>
      <c r="Y31" s="386">
        <f>$C31/$C$57*Y$57</f>
        <v>0</v>
      </c>
      <c r="Z31" s="922">
        <f>$D31/$D$57*Z$57</f>
        <v>0</v>
      </c>
      <c r="AA31" s="391">
        <f>V31</f>
        <v>0</v>
      </c>
      <c r="AB31" s="286">
        <f>$E31/$E$57*AB$57</f>
        <v>0</v>
      </c>
      <c r="AC31" s="387">
        <f>AB31/$AB$57*1000</f>
        <v>0</v>
      </c>
      <c r="AD31" s="846">
        <f t="shared" si="2"/>
        <v>0</v>
      </c>
    </row>
    <row r="32" spans="1:113" s="288" customFormat="1" ht="21.95" customHeight="1">
      <c r="A32" s="943" t="s">
        <v>55</v>
      </c>
      <c r="B32" s="958" t="s">
        <v>47</v>
      </c>
      <c r="C32" s="842">
        <v>0.2</v>
      </c>
      <c r="D32" s="821">
        <v>0.16</v>
      </c>
      <c r="E32" s="286">
        <v>0</v>
      </c>
      <c r="F32" s="937">
        <f t="shared" si="9"/>
        <v>0</v>
      </c>
      <c r="G32" s="832">
        <f>$C32/$C$57*G$57</f>
        <v>0.17</v>
      </c>
      <c r="H32" s="286">
        <f>$D32/$D$57*H$57</f>
        <v>0.14000000000000001</v>
      </c>
      <c r="I32" s="286"/>
      <c r="J32" s="799"/>
      <c r="K32" s="286">
        <f>$E32/$E$57*K$57</f>
        <v>0</v>
      </c>
      <c r="L32" s="840"/>
      <c r="M32" s="934">
        <f>$C32/$C$57*M$57</f>
        <v>0.03</v>
      </c>
      <c r="N32" s="922">
        <f>$D32/$D$57*N$57</f>
        <v>0.02</v>
      </c>
      <c r="O32" s="386"/>
      <c r="P32" s="799"/>
      <c r="Q32" s="286">
        <f>$E32/$E$57*Q$57</f>
        <v>0</v>
      </c>
      <c r="R32" s="840"/>
      <c r="S32" s="926">
        <f>$C32/$C$57*S$57</f>
        <v>0</v>
      </c>
      <c r="T32" s="922">
        <f>$D32/$D$57*T$57</f>
        <v>0</v>
      </c>
      <c r="U32" s="386"/>
      <c r="V32" s="799"/>
      <c r="W32" s="748">
        <f>$E32/$E$57*W$57</f>
        <v>0</v>
      </c>
      <c r="X32" s="840"/>
      <c r="Y32" s="386">
        <f>$C32/$C$57*Y$57</f>
        <v>0</v>
      </c>
      <c r="Z32" s="922">
        <f>$D32/$D$57*Z$57</f>
        <v>0</v>
      </c>
      <c r="AA32" s="391"/>
      <c r="AB32" s="286">
        <f>$E32/$E$57*AB$57</f>
        <v>0</v>
      </c>
      <c r="AC32" s="387">
        <f>AB32/$AB$57*1000</f>
        <v>0</v>
      </c>
      <c r="AD32" s="846">
        <f t="shared" si="2"/>
        <v>0</v>
      </c>
    </row>
    <row r="33" spans="1:109" s="288" customFormat="1" ht="21.95" customHeight="1">
      <c r="A33" s="943" t="s">
        <v>432</v>
      </c>
      <c r="B33" s="958" t="s">
        <v>56</v>
      </c>
      <c r="C33" s="843">
        <v>0.08</v>
      </c>
      <c r="D33" s="821">
        <v>0.09</v>
      </c>
      <c r="E33" s="286">
        <v>0</v>
      </c>
      <c r="F33" s="937">
        <f t="shared" si="9"/>
        <v>0</v>
      </c>
      <c r="G33" s="832">
        <f>$C33/$C$57*G$57</f>
        <v>7.0000000000000007E-2</v>
      </c>
      <c r="H33" s="286">
        <f>$D33/$D$57*H$57</f>
        <v>0.08</v>
      </c>
      <c r="I33" s="286">
        <v>0.11</v>
      </c>
      <c r="J33" s="799">
        <f>I33/$I$57*1000</f>
        <v>0</v>
      </c>
      <c r="K33" s="286">
        <f>$E33/$E$57*K$57</f>
        <v>0</v>
      </c>
      <c r="L33" s="840">
        <f>K33/$K$57*1000</f>
        <v>0</v>
      </c>
      <c r="M33" s="934">
        <f>$C33/$C$57*M$57</f>
        <v>0.01</v>
      </c>
      <c r="N33" s="922">
        <f>$D33/$D$57*N$57</f>
        <v>0.01</v>
      </c>
      <c r="O33" s="386">
        <v>0.01</v>
      </c>
      <c r="P33" s="799">
        <f>O33/$O$57*1000</f>
        <v>0</v>
      </c>
      <c r="Q33" s="286">
        <f>$E33/$E$57*Q$57</f>
        <v>0</v>
      </c>
      <c r="R33" s="840">
        <f>Q33/$Q$57*1000</f>
        <v>0</v>
      </c>
      <c r="S33" s="926">
        <f>$C33/$C$57*S$57</f>
        <v>0</v>
      </c>
      <c r="T33" s="922">
        <f>$D33/$D$57*T$57</f>
        <v>0</v>
      </c>
      <c r="U33" s="386">
        <f>'Додаток4 скор'!T26</f>
        <v>0</v>
      </c>
      <c r="V33" s="799">
        <f>U33/$U$57*1000</f>
        <v>0</v>
      </c>
      <c r="W33" s="748">
        <f>$E33/$E$57*W$57</f>
        <v>0</v>
      </c>
      <c r="X33" s="840">
        <f>W33/$W$57*1000</f>
        <v>0</v>
      </c>
      <c r="Y33" s="386">
        <f>$C33/$C$57*Y$57</f>
        <v>0</v>
      </c>
      <c r="Z33" s="922">
        <f>$D33/$D$57*Z$57</f>
        <v>0</v>
      </c>
      <c r="AA33" s="391">
        <f>V33</f>
        <v>0</v>
      </c>
      <c r="AB33" s="286">
        <f>$E33/$E$57*AB$57</f>
        <v>0</v>
      </c>
      <c r="AC33" s="387">
        <f>AB33/$AB$57*1000</f>
        <v>0</v>
      </c>
      <c r="AD33" s="846">
        <f t="shared" si="2"/>
        <v>0</v>
      </c>
    </row>
    <row r="34" spans="1:109" s="285" customFormat="1" ht="21.95" customHeight="1">
      <c r="A34" s="942">
        <v>2</v>
      </c>
      <c r="B34" s="954" t="s">
        <v>141</v>
      </c>
      <c r="C34" s="831">
        <f t="shared" ref="C34:H34" si="22">C35+C39+C42+C43</f>
        <v>27.05</v>
      </c>
      <c r="D34" s="283">
        <f t="shared" si="22"/>
        <v>21.3</v>
      </c>
      <c r="E34" s="283">
        <f t="shared" si="22"/>
        <v>52.55</v>
      </c>
      <c r="F34" s="388">
        <f t="shared" si="22"/>
        <v>0.22</v>
      </c>
      <c r="G34" s="831">
        <f t="shared" si="22"/>
        <v>22.75</v>
      </c>
      <c r="H34" s="283">
        <f t="shared" si="22"/>
        <v>18.2</v>
      </c>
      <c r="I34" s="767">
        <f>I39+I43</f>
        <v>13.34</v>
      </c>
      <c r="J34" s="767">
        <f>J39+J43-0.01</f>
        <v>0.06</v>
      </c>
      <c r="K34" s="283">
        <f>K35+K39+K42+K43</f>
        <v>45.12</v>
      </c>
      <c r="L34" s="838">
        <f>L35+L39+L42+L43</f>
        <v>0.22</v>
      </c>
      <c r="M34" s="844">
        <f>M35+M39+M42+M43</f>
        <v>3.7</v>
      </c>
      <c r="N34" s="921">
        <f>N35+N39+N42+N43</f>
        <v>2.68</v>
      </c>
      <c r="O34" s="390">
        <f>O39+O43</f>
        <v>1.77</v>
      </c>
      <c r="P34" s="767">
        <f>P39+P43-0.01</f>
        <v>0.06</v>
      </c>
      <c r="Q34" s="283">
        <f>Q35+Q39+Q42+Q43</f>
        <v>5.88</v>
      </c>
      <c r="R34" s="838">
        <f>R35+R39+R42+R43</f>
        <v>0.22</v>
      </c>
      <c r="S34" s="930">
        <f>S35+S39+S42+S43</f>
        <v>0.6</v>
      </c>
      <c r="T34" s="921">
        <f>T35+T39+T42+T43</f>
        <v>0.43</v>
      </c>
      <c r="U34" s="390">
        <f>U39+U43</f>
        <v>0.57999999999999996</v>
      </c>
      <c r="V34" s="767">
        <f>V39+V43-0.01</f>
        <v>0.06</v>
      </c>
      <c r="W34" s="388">
        <f>W35+W39+W42+W43</f>
        <v>1.54</v>
      </c>
      <c r="X34" s="838">
        <f>X35+X39+X42+X43</f>
        <v>0.22</v>
      </c>
      <c r="Y34" s="384">
        <f>Y35+Y39+Y42+Y43</f>
        <v>0</v>
      </c>
      <c r="Z34" s="921">
        <f>Z35+Z39+Z42+Z43</f>
        <v>0</v>
      </c>
      <c r="AA34" s="390">
        <f>AA39+AA43</f>
        <v>7.0000000000000007E-2</v>
      </c>
      <c r="AB34" s="283">
        <f>AB35+AB39+AB42+AB43</f>
        <v>0.01</v>
      </c>
      <c r="AC34" s="388">
        <f>AC35+AC39+AC42+AC43</f>
        <v>0.22</v>
      </c>
      <c r="AD34" s="846">
        <f t="shared" si="2"/>
        <v>0</v>
      </c>
    </row>
    <row r="35" spans="1:109" s="288" customFormat="1" ht="21.95" customHeight="1">
      <c r="A35" s="944" t="s">
        <v>59</v>
      </c>
      <c r="B35" s="897" t="s">
        <v>424</v>
      </c>
      <c r="C35" s="762">
        <f t="shared" ref="C35:H35" si="23">SUM(C36:C38)</f>
        <v>1.82</v>
      </c>
      <c r="D35" s="373">
        <f t="shared" si="23"/>
        <v>1.42</v>
      </c>
      <c r="E35" s="373">
        <f t="shared" si="23"/>
        <v>0</v>
      </c>
      <c r="F35" s="937">
        <f t="shared" si="9"/>
        <v>0</v>
      </c>
      <c r="G35" s="762">
        <f t="shared" si="23"/>
        <v>1.53</v>
      </c>
      <c r="H35" s="373">
        <f t="shared" si="23"/>
        <v>1.21</v>
      </c>
      <c r="I35" s="756"/>
      <c r="J35" s="756"/>
      <c r="K35" s="373">
        <f>SUM(K36:K38)</f>
        <v>0</v>
      </c>
      <c r="L35" s="778">
        <f>SUM(L36:L38)</f>
        <v>0</v>
      </c>
      <c r="M35" s="752">
        <f>SUM(M36:M38)</f>
        <v>0.25</v>
      </c>
      <c r="N35" s="645">
        <f>SUM(N36:N38)</f>
        <v>0.18</v>
      </c>
      <c r="O35" s="410"/>
      <c r="P35" s="756"/>
      <c r="Q35" s="373">
        <f>SUM(Q36:Q38)</f>
        <v>0</v>
      </c>
      <c r="R35" s="778">
        <f>SUM(R36:R38)</f>
        <v>0</v>
      </c>
      <c r="S35" s="639">
        <f>SUM(S36:S38)</f>
        <v>0.04</v>
      </c>
      <c r="T35" s="645">
        <f>SUM(T36:T38)</f>
        <v>0.03</v>
      </c>
      <c r="U35" s="410"/>
      <c r="V35" s="756"/>
      <c r="W35" s="409">
        <f>SUM(W36:W38)</f>
        <v>0</v>
      </c>
      <c r="X35" s="778">
        <f>SUM(X36:X38)</f>
        <v>0</v>
      </c>
      <c r="Y35" s="407">
        <f>SUM(Y36:Y38)</f>
        <v>0</v>
      </c>
      <c r="Z35" s="645">
        <f>SUM(Z36:Z38)</f>
        <v>0</v>
      </c>
      <c r="AA35" s="410"/>
      <c r="AB35" s="373">
        <f>SUM(AB36:AB38)</f>
        <v>0</v>
      </c>
      <c r="AC35" s="409">
        <f>SUM(AC36:AC38)</f>
        <v>0</v>
      </c>
      <c r="AD35" s="846">
        <f t="shared" si="2"/>
        <v>0</v>
      </c>
      <c r="AE35" s="412"/>
      <c r="AF35" s="44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  <c r="BO35" s="287"/>
      <c r="BP35" s="287"/>
      <c r="BQ35" s="287"/>
      <c r="BR35" s="287"/>
      <c r="BS35" s="287"/>
      <c r="BT35" s="287"/>
      <c r="BU35" s="287"/>
      <c r="BV35" s="287"/>
      <c r="BW35" s="287"/>
      <c r="BX35" s="287"/>
      <c r="BY35" s="287"/>
      <c r="BZ35" s="287"/>
      <c r="CA35" s="287"/>
      <c r="CB35" s="287"/>
      <c r="CC35" s="287"/>
      <c r="CD35" s="287"/>
      <c r="CE35" s="287"/>
      <c r="CF35" s="287"/>
      <c r="CG35" s="287"/>
      <c r="CH35" s="287"/>
      <c r="CI35" s="287"/>
      <c r="CJ35" s="287"/>
      <c r="CK35" s="287"/>
      <c r="CL35" s="287"/>
      <c r="CM35" s="287"/>
      <c r="CN35" s="287"/>
      <c r="CO35" s="287"/>
      <c r="CP35" s="287"/>
      <c r="CQ35" s="287"/>
      <c r="CR35" s="287"/>
      <c r="CS35" s="287"/>
      <c r="CT35" s="287"/>
      <c r="CU35" s="287"/>
      <c r="CV35" s="287"/>
      <c r="CW35" s="287"/>
      <c r="CX35" s="287"/>
      <c r="CY35" s="287"/>
      <c r="CZ35" s="287"/>
      <c r="DA35" s="287"/>
      <c r="DB35" s="287"/>
      <c r="DC35" s="287"/>
      <c r="DD35" s="287"/>
      <c r="DE35" s="287"/>
    </row>
    <row r="36" spans="1:109" s="288" customFormat="1" ht="21.95" customHeight="1">
      <c r="A36" s="944" t="s">
        <v>348</v>
      </c>
      <c r="B36" s="893" t="s">
        <v>212</v>
      </c>
      <c r="C36" s="762">
        <v>0.37</v>
      </c>
      <c r="D36" s="373">
        <v>0.31</v>
      </c>
      <c r="E36" s="373">
        <v>0</v>
      </c>
      <c r="F36" s="937">
        <f t="shared" si="9"/>
        <v>0</v>
      </c>
      <c r="G36" s="832">
        <f>$C36/$C$57*G$57</f>
        <v>0.31</v>
      </c>
      <c r="H36" s="286">
        <f>$D36/$D$57*H$57</f>
        <v>0.26</v>
      </c>
      <c r="I36" s="756"/>
      <c r="J36" s="756"/>
      <c r="K36" s="286">
        <f>$E36/$E$57*K$57</f>
        <v>0</v>
      </c>
      <c r="L36" s="840">
        <f>K36/$K$57*1000</f>
        <v>0</v>
      </c>
      <c r="M36" s="934">
        <f>$C36/$C$57*M$57</f>
        <v>0.05</v>
      </c>
      <c r="N36" s="922">
        <f>$D36/$D$57*N$57</f>
        <v>0.04</v>
      </c>
      <c r="O36" s="410"/>
      <c r="P36" s="756"/>
      <c r="Q36" s="286">
        <f>$E36/$E$57*Q$57</f>
        <v>0</v>
      </c>
      <c r="R36" s="840">
        <f>Q36/$Q$57*1000</f>
        <v>0</v>
      </c>
      <c r="S36" s="926">
        <f>$C36/$C$57*S$57</f>
        <v>0.01</v>
      </c>
      <c r="T36" s="922">
        <f>$D36/$D$57*T$57</f>
        <v>0.01</v>
      </c>
      <c r="U36" s="410"/>
      <c r="V36" s="756"/>
      <c r="W36" s="748">
        <f>$E36/$E$57*W$57</f>
        <v>0</v>
      </c>
      <c r="X36" s="840">
        <f>W36/$W$57*1000</f>
        <v>0</v>
      </c>
      <c r="Y36" s="386">
        <f>$C36/$C$57*Y$57</f>
        <v>0</v>
      </c>
      <c r="Z36" s="922">
        <f>$D36/$D$57*Z$57</f>
        <v>0</v>
      </c>
      <c r="AA36" s="410"/>
      <c r="AB36" s="286">
        <f>$E36/$E$57*AB$57</f>
        <v>0</v>
      </c>
      <c r="AC36" s="387">
        <f>AB36/$AB$57*1000</f>
        <v>0</v>
      </c>
      <c r="AD36" s="846">
        <f t="shared" si="2"/>
        <v>0</v>
      </c>
      <c r="AE36" s="412"/>
      <c r="AF36" s="44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  <c r="BO36" s="287"/>
      <c r="BP36" s="287"/>
      <c r="BQ36" s="287"/>
      <c r="BR36" s="287"/>
      <c r="BS36" s="287"/>
      <c r="BT36" s="287"/>
      <c r="BU36" s="287"/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/>
      <c r="DE36" s="287"/>
    </row>
    <row r="37" spans="1:109" s="288" customFormat="1" ht="21.95" customHeight="1">
      <c r="A37" s="944" t="s">
        <v>349</v>
      </c>
      <c r="B37" s="893" t="s">
        <v>422</v>
      </c>
      <c r="C37" s="762">
        <v>0</v>
      </c>
      <c r="D37" s="373">
        <v>0</v>
      </c>
      <c r="E37" s="373">
        <v>0</v>
      </c>
      <c r="F37" s="937">
        <f t="shared" si="9"/>
        <v>0</v>
      </c>
      <c r="G37" s="832">
        <f>$C37/$C$57*G$57</f>
        <v>0</v>
      </c>
      <c r="H37" s="286">
        <f>$D37/$D$57*H$57</f>
        <v>0</v>
      </c>
      <c r="I37" s="756"/>
      <c r="J37" s="756"/>
      <c r="K37" s="286">
        <f>$E37/$E$57*K$57</f>
        <v>0</v>
      </c>
      <c r="L37" s="840">
        <f>K37/$K$57*1000</f>
        <v>0</v>
      </c>
      <c r="M37" s="934">
        <f>$C37/$C$57*M$57</f>
        <v>0</v>
      </c>
      <c r="N37" s="922">
        <f>$D37/$D$57*N$57</f>
        <v>0</v>
      </c>
      <c r="O37" s="410"/>
      <c r="P37" s="756"/>
      <c r="Q37" s="286">
        <f>$E37/$E$57*Q$57</f>
        <v>0</v>
      </c>
      <c r="R37" s="840">
        <f>Q37/$Q$57*1000</f>
        <v>0</v>
      </c>
      <c r="S37" s="926">
        <f>$C37/$C$57*S$57</f>
        <v>0</v>
      </c>
      <c r="T37" s="922">
        <f>$D37/$D$57*T$57</f>
        <v>0</v>
      </c>
      <c r="U37" s="410"/>
      <c r="V37" s="756"/>
      <c r="W37" s="748">
        <f>$E37/$E$57*W$57</f>
        <v>0</v>
      </c>
      <c r="X37" s="840">
        <f>W37/$W$57*1000</f>
        <v>0</v>
      </c>
      <c r="Y37" s="386">
        <f>$C37/$C$57*Y$57</f>
        <v>0</v>
      </c>
      <c r="Z37" s="922">
        <f>$D37/$D$57*Z$57</f>
        <v>0</v>
      </c>
      <c r="AA37" s="410"/>
      <c r="AB37" s="286">
        <f>$E37/$E$57*AB$57</f>
        <v>0</v>
      </c>
      <c r="AC37" s="387">
        <f>AB37/$AB$57*1000</f>
        <v>0</v>
      </c>
      <c r="AD37" s="846">
        <f t="shared" si="2"/>
        <v>0</v>
      </c>
      <c r="AE37" s="412"/>
      <c r="AF37" s="44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87"/>
      <c r="CC37" s="287"/>
      <c r="CD37" s="287"/>
      <c r="CE37" s="287"/>
      <c r="CF37" s="287"/>
      <c r="CG37" s="287"/>
      <c r="CH37" s="287"/>
      <c r="CI37" s="287"/>
      <c r="CJ37" s="287"/>
      <c r="CK37" s="287"/>
      <c r="CL37" s="287"/>
      <c r="CM37" s="287"/>
      <c r="CN37" s="287"/>
      <c r="CO37" s="287"/>
      <c r="CP37" s="287"/>
      <c r="CQ37" s="287"/>
      <c r="CR37" s="287"/>
      <c r="CS37" s="287"/>
      <c r="CT37" s="287"/>
      <c r="CU37" s="287"/>
      <c r="CV37" s="287"/>
      <c r="CW37" s="287"/>
      <c r="CX37" s="287"/>
      <c r="CY37" s="287"/>
      <c r="CZ37" s="287"/>
      <c r="DA37" s="287"/>
      <c r="DB37" s="287"/>
      <c r="DC37" s="287"/>
      <c r="DD37" s="287"/>
      <c r="DE37" s="287"/>
    </row>
    <row r="38" spans="1:109" s="288" customFormat="1" ht="21.95" customHeight="1">
      <c r="A38" s="944" t="s">
        <v>426</v>
      </c>
      <c r="B38" s="893" t="s">
        <v>423</v>
      </c>
      <c r="C38" s="762">
        <v>1.45</v>
      </c>
      <c r="D38" s="373">
        <f>0.85+0.26</f>
        <v>1.1100000000000001</v>
      </c>
      <c r="E38" s="373">
        <v>0</v>
      </c>
      <c r="F38" s="937">
        <f t="shared" si="9"/>
        <v>0</v>
      </c>
      <c r="G38" s="832">
        <f>$C38/$C$57*G$57</f>
        <v>1.22</v>
      </c>
      <c r="H38" s="286">
        <f>$D38/$D$57*H$57</f>
        <v>0.95</v>
      </c>
      <c r="I38" s="756"/>
      <c r="J38" s="756"/>
      <c r="K38" s="286">
        <f>$E38/$E$57*K$57</f>
        <v>0</v>
      </c>
      <c r="L38" s="840">
        <f>K38/$K$57*1000</f>
        <v>0</v>
      </c>
      <c r="M38" s="934">
        <f>$C38/$C$57*M$57</f>
        <v>0.2</v>
      </c>
      <c r="N38" s="922">
        <f>$D38/$D$57*N$57</f>
        <v>0.14000000000000001</v>
      </c>
      <c r="O38" s="410"/>
      <c r="P38" s="756"/>
      <c r="Q38" s="286">
        <f>$E38/$E$57*Q$57</f>
        <v>0</v>
      </c>
      <c r="R38" s="840">
        <f>Q38/$Q$57*1000</f>
        <v>0</v>
      </c>
      <c r="S38" s="926">
        <f>$C38/$C$57*S$57</f>
        <v>0.03</v>
      </c>
      <c r="T38" s="922">
        <f>$D38/$D$57*T$57</f>
        <v>0.02</v>
      </c>
      <c r="U38" s="410"/>
      <c r="V38" s="756"/>
      <c r="W38" s="748">
        <f>$E38/$E$57*W$57</f>
        <v>0</v>
      </c>
      <c r="X38" s="840">
        <f>W38/$W$57*1000</f>
        <v>0</v>
      </c>
      <c r="Y38" s="386">
        <f>$C38/$C$57*Y$57</f>
        <v>0</v>
      </c>
      <c r="Z38" s="922">
        <f>$D38/$D$57*Z$57</f>
        <v>0</v>
      </c>
      <c r="AA38" s="410"/>
      <c r="AB38" s="286">
        <f>$E38/$E$57*AB$57</f>
        <v>0</v>
      </c>
      <c r="AC38" s="387">
        <f>AB38/$AB$57*1000</f>
        <v>0</v>
      </c>
      <c r="AD38" s="846">
        <f t="shared" si="2"/>
        <v>0</v>
      </c>
      <c r="AE38" s="412"/>
      <c r="AF38" s="44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287"/>
      <c r="BU38" s="287"/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287"/>
      <c r="DA38" s="287"/>
      <c r="DB38" s="287"/>
      <c r="DC38" s="287"/>
      <c r="DD38" s="287"/>
      <c r="DE38" s="287"/>
    </row>
    <row r="39" spans="1:109" s="290" customFormat="1" ht="33.75" customHeight="1">
      <c r="A39" s="943" t="s">
        <v>60</v>
      </c>
      <c r="B39" s="958" t="s">
        <v>345</v>
      </c>
      <c r="C39" s="832">
        <f>SUM(C40:C41)</f>
        <v>22.55</v>
      </c>
      <c r="D39" s="286">
        <f t="shared" ref="D39:AC39" si="24">SUM(D40:D41)</f>
        <v>16.72</v>
      </c>
      <c r="E39" s="286">
        <f t="shared" si="24"/>
        <v>52.55</v>
      </c>
      <c r="F39" s="748">
        <f t="shared" si="24"/>
        <v>0.22</v>
      </c>
      <c r="G39" s="832">
        <f t="shared" si="24"/>
        <v>18.97</v>
      </c>
      <c r="H39" s="286">
        <f t="shared" si="24"/>
        <v>14.29</v>
      </c>
      <c r="I39" s="286">
        <f t="shared" si="24"/>
        <v>11.85</v>
      </c>
      <c r="J39" s="286">
        <f t="shared" si="24"/>
        <v>0.06</v>
      </c>
      <c r="K39" s="286">
        <f t="shared" si="24"/>
        <v>45.12</v>
      </c>
      <c r="L39" s="841">
        <f t="shared" si="24"/>
        <v>0.22</v>
      </c>
      <c r="M39" s="934">
        <f t="shared" si="24"/>
        <v>3.08</v>
      </c>
      <c r="N39" s="922">
        <f t="shared" si="24"/>
        <v>2.1</v>
      </c>
      <c r="O39" s="386">
        <f t="shared" si="24"/>
        <v>1.57</v>
      </c>
      <c r="P39" s="286">
        <f t="shared" si="24"/>
        <v>0.06</v>
      </c>
      <c r="Q39" s="286">
        <f t="shared" si="24"/>
        <v>5.88</v>
      </c>
      <c r="R39" s="841">
        <f t="shared" si="24"/>
        <v>0.22</v>
      </c>
      <c r="S39" s="926">
        <f t="shared" si="24"/>
        <v>0.5</v>
      </c>
      <c r="T39" s="922">
        <f t="shared" si="24"/>
        <v>0.33</v>
      </c>
      <c r="U39" s="386">
        <f t="shared" si="24"/>
        <v>0.51</v>
      </c>
      <c r="V39" s="286">
        <f t="shared" si="24"/>
        <v>0.06</v>
      </c>
      <c r="W39" s="748">
        <f t="shared" si="24"/>
        <v>1.54</v>
      </c>
      <c r="X39" s="841">
        <f t="shared" si="24"/>
        <v>0.22</v>
      </c>
      <c r="Y39" s="386">
        <f t="shared" si="24"/>
        <v>0</v>
      </c>
      <c r="Z39" s="922">
        <f t="shared" si="24"/>
        <v>0</v>
      </c>
      <c r="AA39" s="386">
        <f t="shared" si="24"/>
        <v>0.06</v>
      </c>
      <c r="AB39" s="286">
        <f t="shared" si="24"/>
        <v>0.01</v>
      </c>
      <c r="AC39" s="748">
        <f t="shared" si="24"/>
        <v>0.22</v>
      </c>
      <c r="AD39" s="846">
        <f t="shared" si="2"/>
        <v>0</v>
      </c>
    </row>
    <row r="40" spans="1:109" s="288" customFormat="1" ht="21.95" customHeight="1">
      <c r="A40" s="943" t="s">
        <v>427</v>
      </c>
      <c r="B40" s="957" t="s">
        <v>53</v>
      </c>
      <c r="C40" s="843">
        <v>16.690000000000001</v>
      </c>
      <c r="D40" s="821">
        <v>13.82</v>
      </c>
      <c r="E40" s="286">
        <f>3490.38*1.234%</f>
        <v>43.07</v>
      </c>
      <c r="F40" s="937">
        <f t="shared" si="9"/>
        <v>0.18</v>
      </c>
      <c r="G40" s="832">
        <f>$C40/$C$57*G$57</f>
        <v>14.04</v>
      </c>
      <c r="H40" s="286">
        <f>$D40/$D$57*H$57</f>
        <v>11.81</v>
      </c>
      <c r="I40" s="286">
        <v>9.7100000000000009</v>
      </c>
      <c r="J40" s="799">
        <f>I40/$I$57*1000</f>
        <v>0.05</v>
      </c>
      <c r="K40" s="286">
        <f>$E40/$E$57*K$57</f>
        <v>36.979999999999997</v>
      </c>
      <c r="L40" s="840">
        <f>K40/$K$57*1000</f>
        <v>0.18</v>
      </c>
      <c r="M40" s="934">
        <f>$C40/$C$57*M$57</f>
        <v>2.2799999999999998</v>
      </c>
      <c r="N40" s="922">
        <f>$D40/$D$57*N$57</f>
        <v>1.74</v>
      </c>
      <c r="O40" s="391">
        <v>1.29</v>
      </c>
      <c r="P40" s="799">
        <f>O40/$O$57*1000</f>
        <v>0.05</v>
      </c>
      <c r="Q40" s="286">
        <f>$E40/$E$57*Q$57</f>
        <v>4.82</v>
      </c>
      <c r="R40" s="840">
        <f>Q40/$Q$57*1000</f>
        <v>0.18</v>
      </c>
      <c r="S40" s="926">
        <f>$C40/$C$57*S$57</f>
        <v>0.37</v>
      </c>
      <c r="T40" s="922">
        <f>$D40/$D$57*T$57</f>
        <v>0.27</v>
      </c>
      <c r="U40" s="391">
        <v>0.42</v>
      </c>
      <c r="V40" s="799">
        <f>U40/$U$57*1000</f>
        <v>0.05</v>
      </c>
      <c r="W40" s="748">
        <f>$E40/$E$57*W$57</f>
        <v>1.26</v>
      </c>
      <c r="X40" s="840">
        <f>W40/$W$57*1000</f>
        <v>0.18</v>
      </c>
      <c r="Y40" s="386">
        <f>$C40/$C$57*Y$57</f>
        <v>0</v>
      </c>
      <c r="Z40" s="922">
        <f>$D40/$D$57*Z$57</f>
        <v>0</v>
      </c>
      <c r="AA40" s="391">
        <v>0.05</v>
      </c>
      <c r="AB40" s="286">
        <f>$E40/$E$57*AB$57</f>
        <v>0.01</v>
      </c>
      <c r="AC40" s="387">
        <f>AB40/$AB$57*1000+0.02</f>
        <v>0.18</v>
      </c>
      <c r="AD40" s="846">
        <f t="shared" si="2"/>
        <v>0</v>
      </c>
    </row>
    <row r="41" spans="1:109" s="288" customFormat="1" ht="21.95" customHeight="1">
      <c r="A41" s="943" t="s">
        <v>434</v>
      </c>
      <c r="B41" s="957" t="s">
        <v>45</v>
      </c>
      <c r="C41" s="843">
        <v>5.86</v>
      </c>
      <c r="D41" s="821">
        <v>2.9</v>
      </c>
      <c r="E41" s="286">
        <f>767.88*1.234%</f>
        <v>9.48</v>
      </c>
      <c r="F41" s="937">
        <f t="shared" si="9"/>
        <v>0.04</v>
      </c>
      <c r="G41" s="832">
        <f>$C41/$C$57*G$57</f>
        <v>4.93</v>
      </c>
      <c r="H41" s="286">
        <f>$D41/$D$57*H$57</f>
        <v>2.48</v>
      </c>
      <c r="I41" s="286">
        <v>2.14</v>
      </c>
      <c r="J41" s="799">
        <f>I41/$I$57*1000</f>
        <v>0.01</v>
      </c>
      <c r="K41" s="286">
        <f>$E41/$E$57*K$57</f>
        <v>8.14</v>
      </c>
      <c r="L41" s="840">
        <f>K41/$K$57*1000</f>
        <v>0.04</v>
      </c>
      <c r="M41" s="934">
        <f>$C41/$C$57*M$57</f>
        <v>0.8</v>
      </c>
      <c r="N41" s="922">
        <f>$D41/$D$57*N$57</f>
        <v>0.36</v>
      </c>
      <c r="O41" s="391">
        <v>0.28000000000000003</v>
      </c>
      <c r="P41" s="799">
        <f>O41/$O$57*1000</f>
        <v>0.01</v>
      </c>
      <c r="Q41" s="286">
        <f>$E41/$E$57*Q$57</f>
        <v>1.06</v>
      </c>
      <c r="R41" s="840">
        <f>Q41/$Q$57*1000</f>
        <v>0.04</v>
      </c>
      <c r="S41" s="926">
        <f>$C41/$C$57*S$57</f>
        <v>0.13</v>
      </c>
      <c r="T41" s="922">
        <f>$D41/$D$57*T$57</f>
        <v>0.06</v>
      </c>
      <c r="U41" s="391">
        <v>0.09</v>
      </c>
      <c r="V41" s="799">
        <f>U41/$U$57*1000</f>
        <v>0.01</v>
      </c>
      <c r="W41" s="748">
        <f>$E41/$E$57*W$57</f>
        <v>0.28000000000000003</v>
      </c>
      <c r="X41" s="840">
        <f>W41/$W$57*1000</f>
        <v>0.04</v>
      </c>
      <c r="Y41" s="386">
        <f>$C41/$C$57*Y$57</f>
        <v>0</v>
      </c>
      <c r="Z41" s="922">
        <f>$D41/$D$57*Z$57</f>
        <v>0</v>
      </c>
      <c r="AA41" s="391">
        <v>0.01</v>
      </c>
      <c r="AB41" s="286">
        <f>$E41/$E$57*AB$57</f>
        <v>0</v>
      </c>
      <c r="AC41" s="387">
        <f>AB41/$AB$57*1000+0.04</f>
        <v>0.04</v>
      </c>
      <c r="AD41" s="846">
        <f t="shared" si="2"/>
        <v>0</v>
      </c>
    </row>
    <row r="42" spans="1:109" s="288" customFormat="1" ht="21.95" customHeight="1">
      <c r="A42" s="943" t="s">
        <v>61</v>
      </c>
      <c r="B42" s="958" t="s">
        <v>47</v>
      </c>
      <c r="C42" s="843">
        <v>0.41</v>
      </c>
      <c r="D42" s="821">
        <v>0.3</v>
      </c>
      <c r="E42" s="286">
        <v>0</v>
      </c>
      <c r="F42" s="937">
        <f t="shared" si="9"/>
        <v>0</v>
      </c>
      <c r="G42" s="832">
        <f>$C42/$C$57*G$57</f>
        <v>0.34</v>
      </c>
      <c r="H42" s="286">
        <f>$D42/$D$57*H$57</f>
        <v>0.26</v>
      </c>
      <c r="I42" s="286"/>
      <c r="J42" s="799"/>
      <c r="K42" s="286">
        <f>$E42/$E$57*K$57</f>
        <v>0</v>
      </c>
      <c r="L42" s="840">
        <f>K42/$K$57*1000</f>
        <v>0</v>
      </c>
      <c r="M42" s="934">
        <f>$C42/$C$57*M$57</f>
        <v>0.06</v>
      </c>
      <c r="N42" s="922">
        <f>$D42/$D$57*N$57</f>
        <v>0.04</v>
      </c>
      <c r="O42" s="391"/>
      <c r="P42" s="799"/>
      <c r="Q42" s="286">
        <f>$E42/$E$57*Q$57</f>
        <v>0</v>
      </c>
      <c r="R42" s="840">
        <f>Q42/$Q$57*1000</f>
        <v>0</v>
      </c>
      <c r="S42" s="926">
        <f>$C42/$C$57*S$57</f>
        <v>0.01</v>
      </c>
      <c r="T42" s="922">
        <f>$D42/$D$57*T$57</f>
        <v>0.01</v>
      </c>
      <c r="U42" s="391"/>
      <c r="V42" s="799"/>
      <c r="W42" s="748">
        <f>$E42/$E$57*W$57</f>
        <v>0</v>
      </c>
      <c r="X42" s="840">
        <f>W42/$W$57*1000</f>
        <v>0</v>
      </c>
      <c r="Y42" s="386">
        <f>$C42/$C$57*Y$57</f>
        <v>0</v>
      </c>
      <c r="Z42" s="922">
        <f>$D42/$D$57*Z$57</f>
        <v>0</v>
      </c>
      <c r="AA42" s="391"/>
      <c r="AB42" s="286">
        <f>$E42/$E$57*AB$57</f>
        <v>0</v>
      </c>
      <c r="AC42" s="387">
        <f>AB42/$AB$57*1000</f>
        <v>0</v>
      </c>
      <c r="AD42" s="846">
        <f t="shared" si="2"/>
        <v>0</v>
      </c>
    </row>
    <row r="43" spans="1:109" s="288" customFormat="1" ht="21.95" customHeight="1">
      <c r="A43" s="943" t="s">
        <v>429</v>
      </c>
      <c r="B43" s="958" t="s">
        <v>56</v>
      </c>
      <c r="C43" s="843">
        <v>2.27</v>
      </c>
      <c r="D43" s="821">
        <v>2.86</v>
      </c>
      <c r="E43" s="286">
        <v>0</v>
      </c>
      <c r="F43" s="937">
        <f t="shared" si="9"/>
        <v>0</v>
      </c>
      <c r="G43" s="832">
        <f>$C43/$C$57*G$57</f>
        <v>1.91</v>
      </c>
      <c r="H43" s="286">
        <f>$D43/$D$57*H$57</f>
        <v>2.44</v>
      </c>
      <c r="I43" s="286">
        <v>1.49</v>
      </c>
      <c r="J43" s="799">
        <f>I43/$I$57*1000</f>
        <v>0.01</v>
      </c>
      <c r="K43" s="286">
        <f>$E43/$E$57*K$57</f>
        <v>0</v>
      </c>
      <c r="L43" s="840">
        <f t="shared" ref="L43:L54" si="25">K43/$K$57*1000</f>
        <v>0</v>
      </c>
      <c r="M43" s="934">
        <f>$C43/$C$57*M$57</f>
        <v>0.31</v>
      </c>
      <c r="N43" s="922">
        <f>$D43/$D$57*N$57</f>
        <v>0.36</v>
      </c>
      <c r="O43" s="391">
        <v>0.2</v>
      </c>
      <c r="P43" s="799">
        <f>O43/$O$57*1000</f>
        <v>0.01</v>
      </c>
      <c r="Q43" s="286">
        <f>$E43/$E$57*Q$57</f>
        <v>0</v>
      </c>
      <c r="R43" s="840">
        <f>Q43/$Q$57*1000</f>
        <v>0</v>
      </c>
      <c r="S43" s="926">
        <f>$C43/$C$57*S$57</f>
        <v>0.05</v>
      </c>
      <c r="T43" s="922">
        <f>$D43/$D$57*T$57</f>
        <v>0.06</v>
      </c>
      <c r="U43" s="391">
        <v>7.0000000000000007E-2</v>
      </c>
      <c r="V43" s="799">
        <f>U43/$U$57*1000</f>
        <v>0.01</v>
      </c>
      <c r="W43" s="748">
        <f>$E43/$E$57*W$57</f>
        <v>0</v>
      </c>
      <c r="X43" s="840">
        <f>W43/$W$57*1000</f>
        <v>0</v>
      </c>
      <c r="Y43" s="386">
        <f>$C43/$C$57*Y$57</f>
        <v>0</v>
      </c>
      <c r="Z43" s="922">
        <f>$D43/$D$57*Z$57</f>
        <v>0</v>
      </c>
      <c r="AA43" s="391">
        <v>0.01</v>
      </c>
      <c r="AB43" s="286">
        <f>$E43/$E$57*AB$57</f>
        <v>0</v>
      </c>
      <c r="AC43" s="387">
        <f>AB43/$AB$57*1000</f>
        <v>0</v>
      </c>
      <c r="AD43" s="846">
        <f t="shared" si="2"/>
        <v>0</v>
      </c>
    </row>
    <row r="44" spans="1:109" s="285" customFormat="1" ht="21.95" customHeight="1">
      <c r="A44" s="942">
        <v>3</v>
      </c>
      <c r="B44" s="954" t="s">
        <v>202</v>
      </c>
      <c r="C44" s="831">
        <f t="shared" ref="C44:C54" si="26">G44+M44+S44</f>
        <v>0</v>
      </c>
      <c r="D44" s="283">
        <f t="shared" ref="D44:D55" si="27">H44+N44+T44</f>
        <v>0</v>
      </c>
      <c r="E44" s="283">
        <f>K44+Q44+W44+AB44</f>
        <v>0</v>
      </c>
      <c r="F44" s="937">
        <f t="shared" si="9"/>
        <v>0</v>
      </c>
      <c r="G44" s="837">
        <v>0</v>
      </c>
      <c r="H44" s="767">
        <v>0</v>
      </c>
      <c r="I44" s="283">
        <v>0</v>
      </c>
      <c r="J44" s="767">
        <f>I44/$I$57*1000</f>
        <v>0</v>
      </c>
      <c r="K44" s="767">
        <v>0</v>
      </c>
      <c r="L44" s="839">
        <f t="shared" si="25"/>
        <v>0</v>
      </c>
      <c r="M44" s="935">
        <v>0</v>
      </c>
      <c r="N44" s="923">
        <v>0</v>
      </c>
      <c r="O44" s="384">
        <v>0</v>
      </c>
      <c r="P44" s="767">
        <v>0</v>
      </c>
      <c r="Q44" s="767">
        <v>0</v>
      </c>
      <c r="R44" s="839">
        <v>0</v>
      </c>
      <c r="S44" s="931">
        <v>0</v>
      </c>
      <c r="T44" s="923">
        <v>0</v>
      </c>
      <c r="U44" s="384">
        <v>0</v>
      </c>
      <c r="V44" s="767">
        <v>0</v>
      </c>
      <c r="W44" s="385">
        <v>0</v>
      </c>
      <c r="X44" s="839">
        <v>0</v>
      </c>
      <c r="Y44" s="390">
        <v>0</v>
      </c>
      <c r="Z44" s="923">
        <v>0</v>
      </c>
      <c r="AA44" s="390">
        <v>0</v>
      </c>
      <c r="AB44" s="767">
        <v>0</v>
      </c>
      <c r="AC44" s="385">
        <v>0</v>
      </c>
      <c r="AD44" s="846">
        <f t="shared" si="2"/>
        <v>0</v>
      </c>
    </row>
    <row r="45" spans="1:109" s="285" customFormat="1" ht="21.95" customHeight="1">
      <c r="A45" s="942">
        <v>3</v>
      </c>
      <c r="B45" s="954" t="s">
        <v>102</v>
      </c>
      <c r="C45" s="831">
        <f t="shared" si="26"/>
        <v>0</v>
      </c>
      <c r="D45" s="283">
        <f t="shared" si="27"/>
        <v>0</v>
      </c>
      <c r="E45" s="283">
        <f>K45+Q45+W45+AB45</f>
        <v>0</v>
      </c>
      <c r="F45" s="937">
        <f t="shared" si="9"/>
        <v>0</v>
      </c>
      <c r="G45" s="837">
        <v>0</v>
      </c>
      <c r="H45" s="767">
        <v>0</v>
      </c>
      <c r="I45" s="283">
        <f>'Додаток4 скор'!J33</f>
        <v>0</v>
      </c>
      <c r="J45" s="767">
        <f>I45/$I$57*1000</f>
        <v>0</v>
      </c>
      <c r="K45" s="767">
        <f t="shared" ref="K45:K62" si="28">I45</f>
        <v>0</v>
      </c>
      <c r="L45" s="839">
        <f t="shared" si="25"/>
        <v>0</v>
      </c>
      <c r="M45" s="935">
        <v>0</v>
      </c>
      <c r="N45" s="923">
        <v>0</v>
      </c>
      <c r="O45" s="390">
        <f>'Додаток4 скор'!O33</f>
        <v>0</v>
      </c>
      <c r="P45" s="767">
        <f>O45/$O$57*1000</f>
        <v>0</v>
      </c>
      <c r="Q45" s="767">
        <f t="shared" ref="Q45:Q62" si="29">O45</f>
        <v>0</v>
      </c>
      <c r="R45" s="839">
        <f>Q45/$Q$57*1000</f>
        <v>0</v>
      </c>
      <c r="S45" s="931">
        <v>0</v>
      </c>
      <c r="T45" s="923">
        <v>0</v>
      </c>
      <c r="U45" s="390">
        <f>'Додаток4 скор'!T33</f>
        <v>0</v>
      </c>
      <c r="V45" s="767">
        <f>U45/$U$57*1000</f>
        <v>0</v>
      </c>
      <c r="W45" s="385">
        <f t="shared" ref="W45:W62" si="30">U45</f>
        <v>0</v>
      </c>
      <c r="X45" s="839">
        <f>W45/$W$57*1000</f>
        <v>0</v>
      </c>
      <c r="Y45" s="390">
        <v>0</v>
      </c>
      <c r="Z45" s="923">
        <v>0</v>
      </c>
      <c r="AA45" s="390">
        <f>V45</f>
        <v>0</v>
      </c>
      <c r="AB45" s="767">
        <v>0</v>
      </c>
      <c r="AC45" s="385">
        <f>X45</f>
        <v>0</v>
      </c>
      <c r="AD45" s="846">
        <f t="shared" si="2"/>
        <v>0</v>
      </c>
    </row>
    <row r="46" spans="1:109" s="285" customFormat="1" ht="21.95" customHeight="1">
      <c r="A46" s="942">
        <v>4</v>
      </c>
      <c r="B46" s="954" t="s">
        <v>65</v>
      </c>
      <c r="C46" s="831">
        <f t="shared" si="26"/>
        <v>0</v>
      </c>
      <c r="D46" s="283">
        <f t="shared" si="27"/>
        <v>0</v>
      </c>
      <c r="E46" s="283">
        <f>K46+Q46+W46+AB46</f>
        <v>0</v>
      </c>
      <c r="F46" s="937">
        <f t="shared" si="9"/>
        <v>0</v>
      </c>
      <c r="G46" s="837">
        <v>0</v>
      </c>
      <c r="H46" s="767">
        <v>0</v>
      </c>
      <c r="I46" s="283">
        <f>'Додаток4 скор'!J34</f>
        <v>0</v>
      </c>
      <c r="J46" s="767">
        <f>I46/$I$57*1000</f>
        <v>0</v>
      </c>
      <c r="K46" s="767">
        <f t="shared" si="28"/>
        <v>0</v>
      </c>
      <c r="L46" s="839">
        <f t="shared" si="25"/>
        <v>0</v>
      </c>
      <c r="M46" s="935">
        <v>0</v>
      </c>
      <c r="N46" s="923">
        <v>0</v>
      </c>
      <c r="O46" s="390">
        <f>'Додаток4 скор'!O34</f>
        <v>0</v>
      </c>
      <c r="P46" s="767">
        <f>O46/$O$57*1000</f>
        <v>0</v>
      </c>
      <c r="Q46" s="767">
        <f t="shared" si="29"/>
        <v>0</v>
      </c>
      <c r="R46" s="839">
        <f>Q46/$Q$57*1000</f>
        <v>0</v>
      </c>
      <c r="S46" s="931">
        <v>0</v>
      </c>
      <c r="T46" s="923">
        <v>0</v>
      </c>
      <c r="U46" s="390">
        <f>'Додаток4 скор'!T34</f>
        <v>0</v>
      </c>
      <c r="V46" s="767">
        <f>U46/$U$57*1000</f>
        <v>0</v>
      </c>
      <c r="W46" s="385">
        <f t="shared" si="30"/>
        <v>0</v>
      </c>
      <c r="X46" s="839">
        <f>W46/$W$57*1000</f>
        <v>0</v>
      </c>
      <c r="Y46" s="390">
        <v>0</v>
      </c>
      <c r="Z46" s="923">
        <v>0</v>
      </c>
      <c r="AA46" s="390">
        <f>V46</f>
        <v>0</v>
      </c>
      <c r="AB46" s="767">
        <v>0</v>
      </c>
      <c r="AC46" s="385">
        <f>X46</f>
        <v>0</v>
      </c>
      <c r="AD46" s="846">
        <f t="shared" si="2"/>
        <v>0</v>
      </c>
    </row>
    <row r="47" spans="1:109" s="285" customFormat="1" ht="21.95" customHeight="1">
      <c r="A47" s="948">
        <v>5</v>
      </c>
      <c r="B47" s="891" t="s">
        <v>101</v>
      </c>
      <c r="C47" s="831">
        <f t="shared" ref="C47:H47" si="31">C8+C34</f>
        <v>471.45</v>
      </c>
      <c r="D47" s="283">
        <f t="shared" si="31"/>
        <v>399.05</v>
      </c>
      <c r="E47" s="283">
        <f t="shared" si="31"/>
        <v>704.45</v>
      </c>
      <c r="F47" s="388">
        <f t="shared" si="31"/>
        <v>2.97</v>
      </c>
      <c r="G47" s="831">
        <f t="shared" si="31"/>
        <v>396.17</v>
      </c>
      <c r="H47" s="283">
        <f t="shared" si="31"/>
        <v>339.5</v>
      </c>
      <c r="I47" s="283">
        <f>I34+I8</f>
        <v>430.8</v>
      </c>
      <c r="J47" s="767">
        <f t="shared" ref="J47:J54" si="32">I47/$I$57*1000</f>
        <v>2.1</v>
      </c>
      <c r="K47" s="283">
        <f>K34+K8</f>
        <v>604.89</v>
      </c>
      <c r="L47" s="388">
        <f>L34+L8</f>
        <v>2.97</v>
      </c>
      <c r="M47" s="935">
        <f>M34+M8</f>
        <v>64.34</v>
      </c>
      <c r="N47" s="923">
        <f>N34+N8</f>
        <v>49.97</v>
      </c>
      <c r="O47" s="390">
        <f>O34+O8</f>
        <v>57.17</v>
      </c>
      <c r="P47" s="767">
        <f t="shared" ref="P47:P54" si="33">O47/$O$57*1000</f>
        <v>2.1</v>
      </c>
      <c r="Q47" s="767">
        <f>Q34+Q8</f>
        <v>78.83</v>
      </c>
      <c r="R47" s="839">
        <f>R34+R8</f>
        <v>2.97</v>
      </c>
      <c r="S47" s="931">
        <f>S34+S8</f>
        <v>10.49</v>
      </c>
      <c r="T47" s="923">
        <f>T34+T8</f>
        <v>7.69</v>
      </c>
      <c r="U47" s="390">
        <f>U34+U8</f>
        <v>18.760000000000002</v>
      </c>
      <c r="V47" s="767">
        <f t="shared" ref="V47:V54" si="34">U47/$U$57*1000</f>
        <v>2.1</v>
      </c>
      <c r="W47" s="385">
        <f t="shared" ref="W47:AC47" si="35">W34+W8</f>
        <v>20.55</v>
      </c>
      <c r="X47" s="839">
        <f t="shared" si="35"/>
        <v>2.97</v>
      </c>
      <c r="Y47" s="390">
        <f t="shared" si="35"/>
        <v>0.1</v>
      </c>
      <c r="Z47" s="923">
        <f t="shared" si="35"/>
        <v>0.08</v>
      </c>
      <c r="AA47" s="390">
        <f t="shared" si="35"/>
        <v>2.1</v>
      </c>
      <c r="AB47" s="767">
        <f t="shared" si="35"/>
        <v>0.18</v>
      </c>
      <c r="AC47" s="385">
        <f t="shared" si="35"/>
        <v>2.97</v>
      </c>
      <c r="AD47" s="846">
        <f t="shared" si="2"/>
        <v>0</v>
      </c>
    </row>
    <row r="48" spans="1:109" s="285" customFormat="1" ht="21.95" customHeight="1">
      <c r="A48" s="948">
        <v>6</v>
      </c>
      <c r="B48" s="891" t="s">
        <v>373</v>
      </c>
      <c r="C48" s="831">
        <f t="shared" si="26"/>
        <v>0</v>
      </c>
      <c r="D48" s="283">
        <f t="shared" si="27"/>
        <v>0</v>
      </c>
      <c r="E48" s="283">
        <f t="shared" ref="E48:E55" si="36">K48+Q48+W48+AB48</f>
        <v>0</v>
      </c>
      <c r="F48" s="937">
        <f t="shared" si="9"/>
        <v>0</v>
      </c>
      <c r="G48" s="837">
        <v>0</v>
      </c>
      <c r="H48" s="767">
        <v>0</v>
      </c>
      <c r="I48" s="283">
        <v>0</v>
      </c>
      <c r="J48" s="283">
        <v>0</v>
      </c>
      <c r="K48" s="767">
        <v>0</v>
      </c>
      <c r="L48" s="839">
        <f t="shared" si="25"/>
        <v>0</v>
      </c>
      <c r="M48" s="935">
        <v>0</v>
      </c>
      <c r="N48" s="923">
        <v>0</v>
      </c>
      <c r="O48" s="390">
        <v>0</v>
      </c>
      <c r="P48" s="767">
        <v>0</v>
      </c>
      <c r="Q48" s="767">
        <v>0</v>
      </c>
      <c r="R48" s="839">
        <f t="shared" ref="R48:R54" si="37">Q48/$Q$57*1000</f>
        <v>0</v>
      </c>
      <c r="S48" s="931">
        <v>0</v>
      </c>
      <c r="T48" s="923">
        <v>0</v>
      </c>
      <c r="U48" s="390">
        <v>0</v>
      </c>
      <c r="V48" s="767">
        <v>0</v>
      </c>
      <c r="W48" s="385">
        <v>0</v>
      </c>
      <c r="X48" s="840">
        <f t="shared" ref="X48:X54" si="38">W48/$W$57*1000</f>
        <v>0</v>
      </c>
      <c r="Y48" s="390">
        <v>0</v>
      </c>
      <c r="Z48" s="923">
        <v>0</v>
      </c>
      <c r="AA48" s="390">
        <v>0</v>
      </c>
      <c r="AB48" s="767">
        <v>0</v>
      </c>
      <c r="AC48" s="385">
        <v>0</v>
      </c>
      <c r="AD48" s="846">
        <f t="shared" si="2"/>
        <v>0</v>
      </c>
    </row>
    <row r="49" spans="1:30" s="285" customFormat="1" ht="21.95" customHeight="1">
      <c r="A49" s="942">
        <v>7</v>
      </c>
      <c r="B49" s="954" t="s">
        <v>147</v>
      </c>
      <c r="C49" s="831">
        <f t="shared" si="26"/>
        <v>0</v>
      </c>
      <c r="D49" s="283">
        <f t="shared" si="27"/>
        <v>0</v>
      </c>
      <c r="E49" s="283">
        <f t="shared" si="36"/>
        <v>0</v>
      </c>
      <c r="F49" s="937">
        <f t="shared" si="9"/>
        <v>0</v>
      </c>
      <c r="G49" s="831">
        <f>SUM(G50:G54)</f>
        <v>0</v>
      </c>
      <c r="H49" s="283">
        <f>SUM(H50:H54)</f>
        <v>0</v>
      </c>
      <c r="I49" s="283">
        <f>SUM(I50:I54)</f>
        <v>0</v>
      </c>
      <c r="J49" s="767">
        <f t="shared" si="32"/>
        <v>0</v>
      </c>
      <c r="K49" s="767">
        <f t="shared" si="28"/>
        <v>0</v>
      </c>
      <c r="L49" s="839">
        <f t="shared" si="25"/>
        <v>0</v>
      </c>
      <c r="M49" s="935">
        <f>SUM(M50:M54)</f>
        <v>0</v>
      </c>
      <c r="N49" s="923">
        <f>SUM(N50:N54)</f>
        <v>0</v>
      </c>
      <c r="O49" s="390">
        <f>SUM(O50:O54)</f>
        <v>0</v>
      </c>
      <c r="P49" s="767">
        <f t="shared" si="33"/>
        <v>0</v>
      </c>
      <c r="Q49" s="767">
        <f t="shared" si="29"/>
        <v>0</v>
      </c>
      <c r="R49" s="839">
        <f t="shared" si="37"/>
        <v>0</v>
      </c>
      <c r="S49" s="931">
        <f>SUM(S50:S54)</f>
        <v>0</v>
      </c>
      <c r="T49" s="923">
        <f>SUM(T50:T54)</f>
        <v>0</v>
      </c>
      <c r="U49" s="390">
        <f>SUM(U50:U54)</f>
        <v>0</v>
      </c>
      <c r="V49" s="767">
        <f t="shared" si="34"/>
        <v>0</v>
      </c>
      <c r="W49" s="385">
        <f t="shared" si="30"/>
        <v>0</v>
      </c>
      <c r="X49" s="840">
        <f t="shared" si="38"/>
        <v>0</v>
      </c>
      <c r="Y49" s="390">
        <f>SUM(Y50:Y54)</f>
        <v>0</v>
      </c>
      <c r="Z49" s="923">
        <f>SUM(Z50:Z54)</f>
        <v>0</v>
      </c>
      <c r="AA49" s="390">
        <f t="shared" ref="AA49:AA54" si="39">V49</f>
        <v>0</v>
      </c>
      <c r="AB49" s="767">
        <f>SUM(AB50:AB54)</f>
        <v>0</v>
      </c>
      <c r="AC49" s="385">
        <f>SUM(AC50:AC54)</f>
        <v>0</v>
      </c>
      <c r="AD49" s="846">
        <f t="shared" si="2"/>
        <v>0</v>
      </c>
    </row>
    <row r="50" spans="1:30" s="288" customFormat="1" ht="18" customHeight="1">
      <c r="A50" s="943" t="s">
        <v>66</v>
      </c>
      <c r="B50" s="958" t="s">
        <v>67</v>
      </c>
      <c r="C50" s="832">
        <f t="shared" si="26"/>
        <v>0</v>
      </c>
      <c r="D50" s="286">
        <f t="shared" si="27"/>
        <v>0</v>
      </c>
      <c r="E50" s="286">
        <f t="shared" si="36"/>
        <v>0</v>
      </c>
      <c r="F50" s="937">
        <f t="shared" si="9"/>
        <v>0</v>
      </c>
      <c r="G50" s="391"/>
      <c r="H50" s="799"/>
      <c r="I50" s="286">
        <f>'Додаток4 скор'!J38</f>
        <v>0</v>
      </c>
      <c r="J50" s="799">
        <f t="shared" si="32"/>
        <v>0</v>
      </c>
      <c r="K50" s="799">
        <f t="shared" si="28"/>
        <v>0</v>
      </c>
      <c r="L50" s="387">
        <f t="shared" si="25"/>
        <v>0</v>
      </c>
      <c r="M50" s="936"/>
      <c r="N50" s="924"/>
      <c r="O50" s="391">
        <f>'Додаток4 скор'!O38</f>
        <v>0</v>
      </c>
      <c r="P50" s="799">
        <f t="shared" si="33"/>
        <v>0</v>
      </c>
      <c r="Q50" s="799">
        <f t="shared" si="29"/>
        <v>0</v>
      </c>
      <c r="R50" s="840">
        <f t="shared" si="37"/>
        <v>0</v>
      </c>
      <c r="S50" s="932"/>
      <c r="T50" s="924"/>
      <c r="U50" s="391">
        <f>'Додаток4 скор'!T38</f>
        <v>0</v>
      </c>
      <c r="V50" s="799">
        <f t="shared" si="34"/>
        <v>0</v>
      </c>
      <c r="W50" s="387">
        <f t="shared" si="30"/>
        <v>0</v>
      </c>
      <c r="X50" s="840">
        <f t="shared" si="38"/>
        <v>0</v>
      </c>
      <c r="Y50" s="391"/>
      <c r="Z50" s="924"/>
      <c r="AA50" s="391">
        <f t="shared" si="39"/>
        <v>0</v>
      </c>
      <c r="AB50" s="799"/>
      <c r="AC50" s="387">
        <f>X50</f>
        <v>0</v>
      </c>
      <c r="AD50" s="846">
        <f t="shared" si="2"/>
        <v>0</v>
      </c>
    </row>
    <row r="51" spans="1:30" s="288" customFormat="1" ht="18" customHeight="1">
      <c r="A51" s="943" t="s">
        <v>68</v>
      </c>
      <c r="B51" s="958" t="s">
        <v>69</v>
      </c>
      <c r="C51" s="832">
        <f t="shared" si="26"/>
        <v>0</v>
      </c>
      <c r="D51" s="286">
        <f t="shared" si="27"/>
        <v>0</v>
      </c>
      <c r="E51" s="286">
        <f t="shared" si="36"/>
        <v>0</v>
      </c>
      <c r="F51" s="937">
        <f t="shared" si="9"/>
        <v>0</v>
      </c>
      <c r="G51" s="391"/>
      <c r="H51" s="799"/>
      <c r="I51" s="286">
        <f>'Додаток4 скор'!J39</f>
        <v>0</v>
      </c>
      <c r="J51" s="799">
        <f t="shared" si="32"/>
        <v>0</v>
      </c>
      <c r="K51" s="799">
        <f t="shared" si="28"/>
        <v>0</v>
      </c>
      <c r="L51" s="387">
        <f t="shared" si="25"/>
        <v>0</v>
      </c>
      <c r="M51" s="936"/>
      <c r="N51" s="924"/>
      <c r="O51" s="391">
        <f>'Додаток4 скор'!O39</f>
        <v>0</v>
      </c>
      <c r="P51" s="799">
        <f t="shared" si="33"/>
        <v>0</v>
      </c>
      <c r="Q51" s="799">
        <f t="shared" si="29"/>
        <v>0</v>
      </c>
      <c r="R51" s="840">
        <f t="shared" si="37"/>
        <v>0</v>
      </c>
      <c r="S51" s="932"/>
      <c r="T51" s="924"/>
      <c r="U51" s="391">
        <f>'Додаток4 скор'!T39</f>
        <v>0</v>
      </c>
      <c r="V51" s="799">
        <f t="shared" si="34"/>
        <v>0</v>
      </c>
      <c r="W51" s="387">
        <f t="shared" si="30"/>
        <v>0</v>
      </c>
      <c r="X51" s="840">
        <f t="shared" si="38"/>
        <v>0</v>
      </c>
      <c r="Y51" s="391"/>
      <c r="Z51" s="924"/>
      <c r="AA51" s="391">
        <f t="shared" si="39"/>
        <v>0</v>
      </c>
      <c r="AB51" s="799"/>
      <c r="AC51" s="387">
        <f>X51</f>
        <v>0</v>
      </c>
      <c r="AD51" s="846">
        <f t="shared" si="2"/>
        <v>0</v>
      </c>
    </row>
    <row r="52" spans="1:30" s="288" customFormat="1" ht="18" customHeight="1">
      <c r="A52" s="943" t="s">
        <v>68</v>
      </c>
      <c r="B52" s="958" t="str">
        <f>Додаток3!B53</f>
        <v xml:space="preserve">резервний фонд (капітал) та дивіденди </v>
      </c>
      <c r="C52" s="832">
        <f t="shared" si="26"/>
        <v>0</v>
      </c>
      <c r="D52" s="286">
        <f t="shared" si="27"/>
        <v>0</v>
      </c>
      <c r="E52" s="286">
        <f t="shared" si="36"/>
        <v>0</v>
      </c>
      <c r="F52" s="937">
        <f t="shared" si="9"/>
        <v>0</v>
      </c>
      <c r="G52" s="391"/>
      <c r="H52" s="799"/>
      <c r="I52" s="286">
        <f>'Додаток4 скор'!J40</f>
        <v>0</v>
      </c>
      <c r="J52" s="799">
        <f t="shared" si="32"/>
        <v>0</v>
      </c>
      <c r="K52" s="799">
        <f t="shared" si="28"/>
        <v>0</v>
      </c>
      <c r="L52" s="387">
        <f t="shared" si="25"/>
        <v>0</v>
      </c>
      <c r="M52" s="936"/>
      <c r="N52" s="924"/>
      <c r="O52" s="391">
        <f>'Додаток4 скор'!O40</f>
        <v>0</v>
      </c>
      <c r="P52" s="799">
        <f t="shared" si="33"/>
        <v>0</v>
      </c>
      <c r="Q52" s="799">
        <f t="shared" si="29"/>
        <v>0</v>
      </c>
      <c r="R52" s="840">
        <f t="shared" si="37"/>
        <v>0</v>
      </c>
      <c r="S52" s="932"/>
      <c r="T52" s="924"/>
      <c r="U52" s="391">
        <f>'Додаток4 скор'!T40</f>
        <v>0</v>
      </c>
      <c r="V52" s="799">
        <f t="shared" si="34"/>
        <v>0</v>
      </c>
      <c r="W52" s="387">
        <f t="shared" si="30"/>
        <v>0</v>
      </c>
      <c r="X52" s="840">
        <f t="shared" si="38"/>
        <v>0</v>
      </c>
      <c r="Y52" s="391"/>
      <c r="Z52" s="924"/>
      <c r="AA52" s="391">
        <f t="shared" si="39"/>
        <v>0</v>
      </c>
      <c r="AB52" s="799"/>
      <c r="AC52" s="387">
        <f>X52</f>
        <v>0</v>
      </c>
      <c r="AD52" s="846">
        <f t="shared" si="2"/>
        <v>0</v>
      </c>
    </row>
    <row r="53" spans="1:30" s="288" customFormat="1" ht="30.75" customHeight="1">
      <c r="A53" s="943" t="s">
        <v>70</v>
      </c>
      <c r="B53" s="958" t="s">
        <v>72</v>
      </c>
      <c r="C53" s="832">
        <f t="shared" si="26"/>
        <v>0</v>
      </c>
      <c r="D53" s="286">
        <f t="shared" si="27"/>
        <v>0</v>
      </c>
      <c r="E53" s="286">
        <f t="shared" si="36"/>
        <v>0</v>
      </c>
      <c r="F53" s="937">
        <f t="shared" si="9"/>
        <v>0</v>
      </c>
      <c r="G53" s="391"/>
      <c r="H53" s="799"/>
      <c r="I53" s="286">
        <f>'Додаток4 скор'!J41</f>
        <v>0</v>
      </c>
      <c r="J53" s="799">
        <f t="shared" si="32"/>
        <v>0</v>
      </c>
      <c r="K53" s="799">
        <f t="shared" si="28"/>
        <v>0</v>
      </c>
      <c r="L53" s="387">
        <f t="shared" si="25"/>
        <v>0</v>
      </c>
      <c r="M53" s="936"/>
      <c r="N53" s="924"/>
      <c r="O53" s="391">
        <f>'Додаток4 скор'!O41</f>
        <v>0</v>
      </c>
      <c r="P53" s="799">
        <f t="shared" si="33"/>
        <v>0</v>
      </c>
      <c r="Q53" s="799">
        <f t="shared" si="29"/>
        <v>0</v>
      </c>
      <c r="R53" s="840">
        <f t="shared" si="37"/>
        <v>0</v>
      </c>
      <c r="S53" s="932"/>
      <c r="T53" s="924"/>
      <c r="U53" s="391">
        <f>'Додаток4 скор'!T41</f>
        <v>0</v>
      </c>
      <c r="V53" s="799">
        <f t="shared" si="34"/>
        <v>0</v>
      </c>
      <c r="W53" s="387">
        <f t="shared" si="30"/>
        <v>0</v>
      </c>
      <c r="X53" s="840">
        <f t="shared" si="38"/>
        <v>0</v>
      </c>
      <c r="Y53" s="391"/>
      <c r="Z53" s="924"/>
      <c r="AA53" s="391">
        <f t="shared" si="39"/>
        <v>0</v>
      </c>
      <c r="AB53" s="799"/>
      <c r="AC53" s="387">
        <f>X53</f>
        <v>0</v>
      </c>
      <c r="AD53" s="846">
        <f t="shared" si="2"/>
        <v>0</v>
      </c>
    </row>
    <row r="54" spans="1:30" s="288" customFormat="1" ht="18" customHeight="1">
      <c r="A54" s="943" t="s">
        <v>71</v>
      </c>
      <c r="B54" s="958" t="s">
        <v>73</v>
      </c>
      <c r="C54" s="832">
        <f t="shared" si="26"/>
        <v>0</v>
      </c>
      <c r="D54" s="286">
        <f t="shared" si="27"/>
        <v>0</v>
      </c>
      <c r="E54" s="286">
        <f t="shared" si="36"/>
        <v>0</v>
      </c>
      <c r="F54" s="937">
        <f t="shared" si="9"/>
        <v>0</v>
      </c>
      <c r="G54" s="391"/>
      <c r="H54" s="799"/>
      <c r="I54" s="286">
        <f>'Додаток4 скор'!J42</f>
        <v>0</v>
      </c>
      <c r="J54" s="799">
        <f t="shared" si="32"/>
        <v>0</v>
      </c>
      <c r="K54" s="799">
        <f t="shared" si="28"/>
        <v>0</v>
      </c>
      <c r="L54" s="387">
        <f t="shared" si="25"/>
        <v>0</v>
      </c>
      <c r="M54" s="932"/>
      <c r="N54" s="924"/>
      <c r="O54" s="391">
        <f>'Додаток4 скор'!O42</f>
        <v>0</v>
      </c>
      <c r="P54" s="799">
        <f t="shared" si="33"/>
        <v>0</v>
      </c>
      <c r="Q54" s="799">
        <f t="shared" si="29"/>
        <v>0</v>
      </c>
      <c r="R54" s="387">
        <f t="shared" si="37"/>
        <v>0</v>
      </c>
      <c r="S54" s="932"/>
      <c r="T54" s="924"/>
      <c r="U54" s="391">
        <f>'Додаток4 скор'!T42</f>
        <v>0</v>
      </c>
      <c r="V54" s="799">
        <f t="shared" si="34"/>
        <v>0</v>
      </c>
      <c r="W54" s="387">
        <f t="shared" si="30"/>
        <v>0</v>
      </c>
      <c r="X54" s="840">
        <f t="shared" si="38"/>
        <v>0</v>
      </c>
      <c r="Y54" s="391"/>
      <c r="Z54" s="924"/>
      <c r="AA54" s="391">
        <f t="shared" si="39"/>
        <v>0</v>
      </c>
      <c r="AB54" s="799"/>
      <c r="AC54" s="387">
        <f>X54</f>
        <v>0</v>
      </c>
      <c r="AD54" s="846">
        <f t="shared" si="2"/>
        <v>0</v>
      </c>
    </row>
    <row r="55" spans="1:30" s="290" customFormat="1" ht="33" customHeight="1">
      <c r="A55" s="949">
        <v>8</v>
      </c>
      <c r="B55" s="958" t="s">
        <v>91</v>
      </c>
      <c r="C55" s="832">
        <f>C47+C48+C49</f>
        <v>471.45</v>
      </c>
      <c r="D55" s="286">
        <f t="shared" si="27"/>
        <v>397.16</v>
      </c>
      <c r="E55" s="286">
        <f t="shared" si="36"/>
        <v>704.45</v>
      </c>
      <c r="F55" s="748">
        <f t="shared" ref="F55:AC55" si="40">F49+F48+F47</f>
        <v>2.97</v>
      </c>
      <c r="G55" s="386">
        <f t="shared" si="40"/>
        <v>396.17</v>
      </c>
      <c r="H55" s="286">
        <f t="shared" si="40"/>
        <v>339.5</v>
      </c>
      <c r="I55" s="286">
        <f t="shared" si="40"/>
        <v>430.8</v>
      </c>
      <c r="J55" s="286">
        <f t="shared" si="40"/>
        <v>2.1</v>
      </c>
      <c r="K55" s="286">
        <f t="shared" si="40"/>
        <v>604.89</v>
      </c>
      <c r="L55" s="748">
        <f t="shared" si="40"/>
        <v>2.97</v>
      </c>
      <c r="M55" s="926">
        <f t="shared" si="40"/>
        <v>64.34</v>
      </c>
      <c r="N55" s="922">
        <f t="shared" si="40"/>
        <v>49.97</v>
      </c>
      <c r="O55" s="386">
        <f t="shared" si="40"/>
        <v>57.17</v>
      </c>
      <c r="P55" s="286">
        <f t="shared" si="40"/>
        <v>2.1</v>
      </c>
      <c r="Q55" s="286">
        <f t="shared" si="40"/>
        <v>78.83</v>
      </c>
      <c r="R55" s="748">
        <f t="shared" si="40"/>
        <v>2.97</v>
      </c>
      <c r="S55" s="926">
        <f t="shared" si="40"/>
        <v>10.49</v>
      </c>
      <c r="T55" s="922">
        <f t="shared" si="40"/>
        <v>7.69</v>
      </c>
      <c r="U55" s="386">
        <f t="shared" si="40"/>
        <v>18.760000000000002</v>
      </c>
      <c r="V55" s="286">
        <f t="shared" si="40"/>
        <v>2.1</v>
      </c>
      <c r="W55" s="748">
        <f t="shared" si="40"/>
        <v>20.55</v>
      </c>
      <c r="X55" s="926">
        <f t="shared" si="40"/>
        <v>2.97</v>
      </c>
      <c r="Y55" s="386">
        <f t="shared" si="40"/>
        <v>0.1</v>
      </c>
      <c r="Z55" s="922">
        <f t="shared" si="40"/>
        <v>0.08</v>
      </c>
      <c r="AA55" s="386">
        <f t="shared" si="40"/>
        <v>2.1</v>
      </c>
      <c r="AB55" s="286">
        <f t="shared" si="40"/>
        <v>0.18</v>
      </c>
      <c r="AC55" s="748">
        <f t="shared" si="40"/>
        <v>2.97</v>
      </c>
      <c r="AD55" s="846">
        <f t="shared" si="2"/>
        <v>0</v>
      </c>
    </row>
    <row r="56" spans="1:30" s="285" customFormat="1" ht="38.25" customHeight="1">
      <c r="A56" s="942">
        <v>9</v>
      </c>
      <c r="B56" s="954" t="s">
        <v>117</v>
      </c>
      <c r="C56" s="831"/>
      <c r="D56" s="283"/>
      <c r="E56" s="283"/>
      <c r="F56" s="838"/>
      <c r="G56" s="384"/>
      <c r="H56" s="283"/>
      <c r="I56" s="283"/>
      <c r="J56" s="283">
        <f>J55</f>
        <v>2.1</v>
      </c>
      <c r="K56" s="767"/>
      <c r="L56" s="385">
        <f>L55</f>
        <v>2.97</v>
      </c>
      <c r="M56" s="931"/>
      <c r="N56" s="923"/>
      <c r="O56" s="384"/>
      <c r="P56" s="283">
        <f>P55</f>
        <v>2.1</v>
      </c>
      <c r="Q56" s="767"/>
      <c r="R56" s="385">
        <f>R55</f>
        <v>2.97</v>
      </c>
      <c r="S56" s="931"/>
      <c r="T56" s="923"/>
      <c r="U56" s="384"/>
      <c r="V56" s="283">
        <f>V55</f>
        <v>2.1</v>
      </c>
      <c r="W56" s="385"/>
      <c r="X56" s="839">
        <f>X55</f>
        <v>2.97</v>
      </c>
      <c r="Y56" s="390"/>
      <c r="Z56" s="923"/>
      <c r="AA56" s="390"/>
      <c r="AB56" s="767"/>
      <c r="AC56" s="385">
        <f>AC55</f>
        <v>2.97</v>
      </c>
      <c r="AD56" s="846">
        <f t="shared" si="2"/>
        <v>0</v>
      </c>
    </row>
    <row r="57" spans="1:30" s="290" customFormat="1" ht="35.25" customHeight="1">
      <c r="A57" s="949">
        <v>10</v>
      </c>
      <c r="B57" s="958" t="s">
        <v>132</v>
      </c>
      <c r="C57" s="407">
        <f>'Додаток1 ТЭ'!C69</f>
        <v>156086.81</v>
      </c>
      <c r="D57" s="373">
        <f>'Додаток1 ТЭ'!D69</f>
        <v>178795</v>
      </c>
      <c r="E57" s="373">
        <f>'Додаток1 ТЭ'!E69</f>
        <v>236872.88</v>
      </c>
      <c r="F57" s="409"/>
      <c r="G57" s="407">
        <f>'Додаток1 ТЭ'!G69</f>
        <v>131286.75</v>
      </c>
      <c r="H57" s="373">
        <f>'Додаток1 ТЭ'!H69</f>
        <v>152840.53</v>
      </c>
      <c r="I57" s="373">
        <f>'Додаток1 ТЭ'!I69</f>
        <v>205308.92</v>
      </c>
      <c r="J57" s="373"/>
      <c r="K57" s="373">
        <f>'Додаток1 ТЭ'!K69</f>
        <v>203396.26</v>
      </c>
      <c r="L57" s="409"/>
      <c r="M57" s="639">
        <f>'Додаток1 ТЭ'!M69</f>
        <v>21318.05</v>
      </c>
      <c r="N57" s="645">
        <f>'Додаток1 ТЭ'!N69</f>
        <v>22497.77</v>
      </c>
      <c r="O57" s="407">
        <f>'Додаток1 ТЭ'!O69</f>
        <v>27244.13</v>
      </c>
      <c r="P57" s="373"/>
      <c r="Q57" s="373">
        <f>'Додаток1 ТЭ'!Q69</f>
        <v>26506.98</v>
      </c>
      <c r="R57" s="409"/>
      <c r="S57" s="639">
        <f>'Додаток1 ТЭ'!S69</f>
        <v>3482.01</v>
      </c>
      <c r="T57" s="645">
        <f>'Додаток1 ТЭ'!T69</f>
        <v>3456.7</v>
      </c>
      <c r="U57" s="407">
        <f>'Додаток1 ТЭ'!U69</f>
        <v>8938.82</v>
      </c>
      <c r="V57" s="373"/>
      <c r="W57" s="409">
        <f>'Додаток1 ТЭ'!W69</f>
        <v>6908.81</v>
      </c>
      <c r="X57" s="778"/>
      <c r="Y57" s="407">
        <f>'Додаток1 ТЭ'!Y69</f>
        <v>35.68</v>
      </c>
      <c r="Z57" s="645">
        <f>'Додаток1 ТЭ'!Z69</f>
        <v>40.380000000000003</v>
      </c>
      <c r="AA57" s="407"/>
      <c r="AB57" s="373">
        <f>'Додаток1 ТЭ'!AB69</f>
        <v>60.83</v>
      </c>
      <c r="AC57" s="409"/>
      <c r="AD57" s="846">
        <f t="shared" si="2"/>
        <v>0</v>
      </c>
    </row>
    <row r="58" spans="1:30" s="292" customFormat="1" ht="20.100000000000001" hidden="1" customHeight="1">
      <c r="A58" s="950" t="s">
        <v>81</v>
      </c>
      <c r="B58" s="954" t="s">
        <v>75</v>
      </c>
      <c r="C58" s="792"/>
      <c r="D58" s="793"/>
      <c r="E58" s="794"/>
      <c r="F58" s="938"/>
      <c r="G58" s="833"/>
      <c r="H58" s="794"/>
      <c r="I58" s="800"/>
      <c r="J58" s="800"/>
      <c r="K58" s="767">
        <f t="shared" si="28"/>
        <v>0</v>
      </c>
      <c r="L58" s="385">
        <f>J58</f>
        <v>0</v>
      </c>
      <c r="M58" s="931"/>
      <c r="N58" s="923"/>
      <c r="O58" s="928"/>
      <c r="P58" s="800"/>
      <c r="Q58" s="767">
        <f t="shared" si="29"/>
        <v>0</v>
      </c>
      <c r="R58" s="385">
        <f>P58</f>
        <v>0</v>
      </c>
      <c r="S58" s="931"/>
      <c r="T58" s="923"/>
      <c r="U58" s="928"/>
      <c r="V58" s="802"/>
      <c r="W58" s="385">
        <f t="shared" si="30"/>
        <v>0</v>
      </c>
      <c r="X58" s="839">
        <f>V58</f>
        <v>0</v>
      </c>
      <c r="Y58" s="390"/>
      <c r="Z58" s="923"/>
      <c r="AA58" s="391">
        <f>U58</f>
        <v>0</v>
      </c>
      <c r="AB58" s="799"/>
      <c r="AC58" s="806">
        <f>V58</f>
        <v>0</v>
      </c>
      <c r="AD58" s="846">
        <f t="shared" si="2"/>
        <v>0</v>
      </c>
    </row>
    <row r="59" spans="1:30" s="292" customFormat="1" ht="15.75" hidden="1" customHeight="1">
      <c r="A59" s="950" t="s">
        <v>81</v>
      </c>
      <c r="B59" s="954" t="s">
        <v>122</v>
      </c>
      <c r="C59" s="792"/>
      <c r="D59" s="793"/>
      <c r="E59" s="794"/>
      <c r="F59" s="938"/>
      <c r="G59" s="833"/>
      <c r="H59" s="794"/>
      <c r="I59" s="800"/>
      <c r="J59" s="800"/>
      <c r="K59" s="767">
        <f t="shared" si="28"/>
        <v>0</v>
      </c>
      <c r="L59" s="385">
        <f>J59</f>
        <v>0</v>
      </c>
      <c r="M59" s="931"/>
      <c r="N59" s="923"/>
      <c r="O59" s="929"/>
      <c r="P59" s="800"/>
      <c r="Q59" s="767">
        <f t="shared" si="29"/>
        <v>0</v>
      </c>
      <c r="R59" s="385">
        <f>P59</f>
        <v>0</v>
      </c>
      <c r="S59" s="931"/>
      <c r="T59" s="923"/>
      <c r="U59" s="928"/>
      <c r="V59" s="802"/>
      <c r="W59" s="385">
        <f t="shared" si="30"/>
        <v>0</v>
      </c>
      <c r="X59" s="839">
        <f>V59</f>
        <v>0</v>
      </c>
      <c r="Y59" s="390"/>
      <c r="Z59" s="923"/>
      <c r="AA59" s="391">
        <f>U59</f>
        <v>0</v>
      </c>
      <c r="AB59" s="799"/>
      <c r="AC59" s="806">
        <f>V59</f>
        <v>0</v>
      </c>
      <c r="AD59" s="846">
        <f t="shared" si="2"/>
        <v>0</v>
      </c>
    </row>
    <row r="60" spans="1:30" s="292" customFormat="1" ht="20.100000000000001" hidden="1" customHeight="1">
      <c r="A60" s="950" t="s">
        <v>82</v>
      </c>
      <c r="B60" s="954" t="s">
        <v>123</v>
      </c>
      <c r="C60" s="792"/>
      <c r="D60" s="793"/>
      <c r="E60" s="794"/>
      <c r="F60" s="938"/>
      <c r="G60" s="833"/>
      <c r="H60" s="794"/>
      <c r="I60" s="800"/>
      <c r="J60" s="800"/>
      <c r="K60" s="767">
        <f t="shared" si="28"/>
        <v>0</v>
      </c>
      <c r="L60" s="385">
        <f>J60</f>
        <v>0</v>
      </c>
      <c r="M60" s="931"/>
      <c r="N60" s="923"/>
      <c r="O60" s="928"/>
      <c r="P60" s="800"/>
      <c r="Q60" s="767">
        <f t="shared" si="29"/>
        <v>0</v>
      </c>
      <c r="R60" s="385">
        <f>P60</f>
        <v>0</v>
      </c>
      <c r="S60" s="931"/>
      <c r="T60" s="923"/>
      <c r="U60" s="929"/>
      <c r="V60" s="802"/>
      <c r="W60" s="385">
        <f t="shared" si="30"/>
        <v>0</v>
      </c>
      <c r="X60" s="839">
        <f>V60</f>
        <v>0</v>
      </c>
      <c r="Y60" s="390"/>
      <c r="Z60" s="923"/>
      <c r="AA60" s="391">
        <f>U60</f>
        <v>0</v>
      </c>
      <c r="AB60" s="799"/>
      <c r="AC60" s="806">
        <f>V60</f>
        <v>0</v>
      </c>
      <c r="AD60" s="846">
        <f t="shared" si="2"/>
        <v>0</v>
      </c>
    </row>
    <row r="61" spans="1:30" s="292" customFormat="1" ht="18.75" hidden="1">
      <c r="A61" s="791" t="s">
        <v>78</v>
      </c>
      <c r="B61" s="959"/>
      <c r="C61" s="795"/>
      <c r="D61" s="796"/>
      <c r="E61" s="796"/>
      <c r="F61" s="939"/>
      <c r="G61" s="795"/>
      <c r="H61" s="796"/>
      <c r="I61" s="796"/>
      <c r="J61" s="796"/>
      <c r="K61" s="767">
        <f t="shared" si="28"/>
        <v>0</v>
      </c>
      <c r="L61" s="385">
        <f>J61</f>
        <v>0</v>
      </c>
      <c r="M61" s="931"/>
      <c r="N61" s="923"/>
      <c r="O61" s="795"/>
      <c r="P61" s="796"/>
      <c r="Q61" s="767">
        <f t="shared" si="29"/>
        <v>0</v>
      </c>
      <c r="R61" s="385">
        <f>P61</f>
        <v>0</v>
      </c>
      <c r="S61" s="931"/>
      <c r="T61" s="923"/>
      <c r="U61" s="795"/>
      <c r="V61" s="801"/>
      <c r="W61" s="385">
        <f t="shared" si="30"/>
        <v>0</v>
      </c>
      <c r="X61" s="839">
        <f>V61</f>
        <v>0</v>
      </c>
      <c r="Y61" s="390"/>
      <c r="Z61" s="923"/>
      <c r="AA61" s="391">
        <f>U61</f>
        <v>0</v>
      </c>
      <c r="AB61" s="799"/>
      <c r="AC61" s="806">
        <f>V61</f>
        <v>0</v>
      </c>
      <c r="AD61" s="846">
        <f t="shared" si="2"/>
        <v>0</v>
      </c>
    </row>
    <row r="62" spans="1:30" s="285" customFormat="1" ht="18.75" hidden="1">
      <c r="A62" s="791"/>
      <c r="B62" s="959" t="s">
        <v>98</v>
      </c>
      <c r="C62" s="795"/>
      <c r="D62" s="796"/>
      <c r="E62" s="796"/>
      <c r="F62" s="939"/>
      <c r="G62" s="795"/>
      <c r="H62" s="796"/>
      <c r="I62" s="796"/>
      <c r="J62" s="796"/>
      <c r="K62" s="767">
        <f t="shared" si="28"/>
        <v>0</v>
      </c>
      <c r="L62" s="385">
        <f>J62</f>
        <v>0</v>
      </c>
      <c r="M62" s="931"/>
      <c r="N62" s="923"/>
      <c r="O62" s="795"/>
      <c r="P62" s="796"/>
      <c r="Q62" s="767">
        <f t="shared" si="29"/>
        <v>0</v>
      </c>
      <c r="R62" s="385">
        <f>P62</f>
        <v>0</v>
      </c>
      <c r="S62" s="931"/>
      <c r="T62" s="923"/>
      <c r="U62" s="795" t="s">
        <v>99</v>
      </c>
      <c r="V62" s="796"/>
      <c r="W62" s="385" t="str">
        <f t="shared" si="30"/>
        <v>В.Кальченко</v>
      </c>
      <c r="X62" s="839">
        <f>V62</f>
        <v>0</v>
      </c>
      <c r="Y62" s="390"/>
      <c r="Z62" s="923"/>
      <c r="AA62" s="391" t="str">
        <f>U62</f>
        <v>В.Кальченко</v>
      </c>
      <c r="AB62" s="799"/>
      <c r="AC62" s="806">
        <f>V62</f>
        <v>0</v>
      </c>
      <c r="AD62" s="846" t="e">
        <f t="shared" si="2"/>
        <v>#VALUE!</v>
      </c>
    </row>
    <row r="63" spans="1:30" s="292" customFormat="1" ht="19.5" customHeight="1" thickBot="1">
      <c r="A63" s="951">
        <v>11</v>
      </c>
      <c r="B63" s="960" t="s">
        <v>204</v>
      </c>
      <c r="C63" s="797"/>
      <c r="D63" s="798"/>
      <c r="E63" s="770"/>
      <c r="F63" s="771"/>
      <c r="G63" s="389"/>
      <c r="H63" s="770"/>
      <c r="I63" s="770">
        <f>I49/I47*100</f>
        <v>0</v>
      </c>
      <c r="J63" s="770">
        <f>J49/J47*100</f>
        <v>0</v>
      </c>
      <c r="K63" s="770"/>
      <c r="L63" s="771"/>
      <c r="M63" s="933"/>
      <c r="N63" s="635"/>
      <c r="O63" s="389">
        <f>O49/O47*100</f>
        <v>0</v>
      </c>
      <c r="P63" s="770">
        <f>P49/P47*100</f>
        <v>0</v>
      </c>
      <c r="Q63" s="770">
        <v>0</v>
      </c>
      <c r="R63" s="771">
        <v>0</v>
      </c>
      <c r="S63" s="933"/>
      <c r="T63" s="635"/>
      <c r="U63" s="389">
        <f>U49/U47*100</f>
        <v>0</v>
      </c>
      <c r="V63" s="770">
        <f>V49/V47*100</f>
        <v>0</v>
      </c>
      <c r="W63" s="771">
        <v>0</v>
      </c>
      <c r="X63" s="927">
        <v>0</v>
      </c>
      <c r="Y63" s="389"/>
      <c r="Z63" s="635"/>
      <c r="AA63" s="389">
        <v>0</v>
      </c>
      <c r="AB63" s="770"/>
      <c r="AC63" s="771">
        <v>0</v>
      </c>
      <c r="AD63" s="846">
        <f t="shared" si="2"/>
        <v>0</v>
      </c>
    </row>
    <row r="64" spans="1:30" ht="10.5" hidden="1" customHeight="1">
      <c r="A64" s="2"/>
      <c r="B64" s="2"/>
      <c r="C64" s="2"/>
      <c r="D64" s="2"/>
      <c r="E64" s="2"/>
      <c r="F64" s="2"/>
      <c r="G64" s="834"/>
      <c r="H64" s="428"/>
      <c r="I64" s="428"/>
      <c r="J64" s="428"/>
      <c r="K64" s="428"/>
      <c r="L64" s="835"/>
      <c r="M64" s="2"/>
      <c r="N64" s="2"/>
      <c r="O64" s="2"/>
      <c r="P64" s="2"/>
      <c r="Q64" s="2"/>
      <c r="R64" s="2"/>
      <c r="S64" s="2"/>
      <c r="T64" s="2"/>
      <c r="U64" s="2"/>
    </row>
    <row r="65" spans="1:35" ht="24.75" hidden="1" customHeight="1">
      <c r="A65" s="2"/>
      <c r="B65" s="2"/>
      <c r="C65" s="2"/>
      <c r="D65" s="2"/>
      <c r="E65" s="2"/>
      <c r="F65" s="2"/>
      <c r="G65" s="834"/>
      <c r="H65" s="428"/>
      <c r="I65" s="428"/>
      <c r="J65" s="428"/>
      <c r="K65" s="428"/>
      <c r="L65" s="835"/>
      <c r="M65" s="2"/>
      <c r="N65" s="2"/>
      <c r="O65" s="2"/>
      <c r="P65" s="2"/>
      <c r="Q65" s="2"/>
      <c r="R65" s="2"/>
      <c r="S65" s="2"/>
      <c r="T65" s="2"/>
      <c r="U65" s="2"/>
    </row>
    <row r="66" spans="1:35" ht="24.75" customHeight="1" thickTop="1">
      <c r="A66" s="2"/>
      <c r="B66" s="2"/>
      <c r="C66" s="2"/>
      <c r="D66" s="2"/>
      <c r="E66" s="2"/>
      <c r="F66" s="2"/>
      <c r="G66" s="836"/>
      <c r="H66" s="836"/>
      <c r="I66" s="836"/>
      <c r="J66" s="836"/>
      <c r="K66" s="836"/>
      <c r="L66" s="836"/>
      <c r="M66" s="2"/>
      <c r="N66" s="2"/>
      <c r="O66" s="2"/>
      <c r="P66" s="2"/>
      <c r="Q66" s="2"/>
      <c r="R66" s="2"/>
      <c r="S66" s="2"/>
      <c r="T66" s="2"/>
      <c r="U66" s="2"/>
    </row>
    <row r="67" spans="1:35" ht="24.75" customHeight="1">
      <c r="A67" s="2"/>
      <c r="B67" s="2"/>
      <c r="C67" s="2"/>
      <c r="D67" s="2"/>
      <c r="E67" s="2"/>
      <c r="F67" s="2"/>
      <c r="G67" s="428"/>
      <c r="H67" s="428"/>
      <c r="I67" s="428"/>
      <c r="J67" s="428"/>
      <c r="K67" s="428"/>
      <c r="L67" s="428"/>
      <c r="M67" s="2"/>
      <c r="N67" s="2"/>
      <c r="O67" s="2"/>
      <c r="P67" s="2"/>
      <c r="Q67" s="2"/>
      <c r="R67" s="2"/>
      <c r="S67" s="2"/>
      <c r="T67" s="2"/>
      <c r="U67" s="2"/>
    </row>
    <row r="68" spans="1:35" ht="24.75" customHeight="1">
      <c r="A68" s="2"/>
      <c r="B68" s="2"/>
      <c r="C68" s="2"/>
      <c r="D68" s="2"/>
      <c r="E68" s="2"/>
      <c r="F68" s="2"/>
      <c r="G68" s="428"/>
      <c r="H68" s="428"/>
      <c r="I68" s="428"/>
      <c r="J68" s="428"/>
      <c r="K68" s="428"/>
      <c r="L68" s="428"/>
      <c r="M68" s="2"/>
      <c r="N68" s="2"/>
      <c r="O68" s="2"/>
      <c r="P68" s="2"/>
      <c r="Q68" s="2"/>
      <c r="R68" s="2"/>
      <c r="S68" s="2"/>
      <c r="T68" s="2"/>
      <c r="U68" s="2"/>
    </row>
    <row r="69" spans="1:35" ht="24.75" customHeight="1">
      <c r="A69" s="2"/>
      <c r="B69" s="2"/>
      <c r="C69" s="2"/>
      <c r="D69" s="2"/>
      <c r="E69" s="2"/>
      <c r="F69" s="2"/>
      <c r="G69" s="428"/>
      <c r="H69" s="428"/>
      <c r="I69" s="428"/>
      <c r="J69" s="428"/>
      <c r="K69" s="428"/>
      <c r="L69" s="428"/>
      <c r="M69" s="2"/>
      <c r="N69" s="2"/>
      <c r="O69" s="2"/>
      <c r="P69" s="2"/>
      <c r="Q69" s="2"/>
      <c r="R69" s="2"/>
      <c r="S69" s="2"/>
      <c r="T69" s="2"/>
      <c r="U69" s="2"/>
    </row>
    <row r="70" spans="1:35" ht="24.75" customHeight="1">
      <c r="A70" s="2"/>
      <c r="B70" s="746" t="s">
        <v>410</v>
      </c>
      <c r="C70" s="2"/>
      <c r="D70" s="2"/>
      <c r="E70" s="2"/>
      <c r="F70" s="2"/>
      <c r="G70" s="428"/>
      <c r="H70" s="428"/>
      <c r="I70" s="428"/>
      <c r="J70" s="428"/>
      <c r="K70" s="428"/>
      <c r="L70" s="428"/>
      <c r="M70" s="2"/>
      <c r="N70" s="2"/>
      <c r="O70" s="2"/>
      <c r="P70" s="2"/>
      <c r="Q70" s="2"/>
      <c r="R70" s="2"/>
      <c r="S70" s="2"/>
      <c r="T70" s="2"/>
      <c r="U70" s="2"/>
    </row>
    <row r="71" spans="1:35" s="288" customFormat="1" ht="18" customHeight="1">
      <c r="A71" s="381"/>
      <c r="B71" s="712" t="s">
        <v>411</v>
      </c>
      <c r="D71" s="746"/>
      <c r="E71" s="371"/>
      <c r="G71" s="371"/>
      <c r="H71" s="371"/>
      <c r="I71" s="371"/>
      <c r="J71" s="371"/>
      <c r="K71" s="371"/>
      <c r="L71" s="371"/>
      <c r="M71" s="371"/>
      <c r="N71" s="371"/>
      <c r="O71" s="712" t="s">
        <v>391</v>
      </c>
      <c r="P71" s="371"/>
      <c r="Q71" s="371"/>
      <c r="R71" s="371"/>
      <c r="S71" s="371"/>
      <c r="T71" s="371"/>
      <c r="U71" s="371"/>
      <c r="V71" s="371"/>
      <c r="W71" s="371"/>
      <c r="X71" s="371"/>
      <c r="Y71" s="371"/>
      <c r="Z71" s="371"/>
      <c r="AA71" s="371"/>
      <c r="AB71" s="371"/>
      <c r="AC71" s="371"/>
      <c r="AE71" s="287"/>
      <c r="AF71" s="287"/>
      <c r="AG71" s="287"/>
      <c r="AH71" s="287"/>
      <c r="AI71" s="287"/>
    </row>
    <row r="72" spans="1:35" s="134" customFormat="1" ht="18.75" customHeight="1">
      <c r="D72" s="272"/>
      <c r="E72" s="272"/>
      <c r="F72" s="272"/>
      <c r="G72" s="272"/>
      <c r="H72" s="272"/>
      <c r="I72" s="272"/>
      <c r="J72" s="272"/>
      <c r="K72" s="272"/>
      <c r="U72" s="712"/>
      <c r="V72" s="712"/>
      <c r="X72" s="712"/>
      <c r="Y72" s="712"/>
      <c r="Z72" s="712"/>
      <c r="AA72" s="294"/>
      <c r="AB72" s="294"/>
      <c r="AC72" s="294"/>
      <c r="AD72" s="294"/>
      <c r="AE72" s="294"/>
    </row>
    <row r="73" spans="1:35" ht="16.5">
      <c r="AD73" s="1"/>
      <c r="AE73" s="285"/>
      <c r="AF73" s="285"/>
      <c r="AG73" s="285"/>
      <c r="AH73" s="285"/>
      <c r="AI73" s="285"/>
    </row>
    <row r="74" spans="1:35" ht="20.25">
      <c r="A74" s="164"/>
      <c r="O74" s="1065"/>
      <c r="P74" s="1065"/>
      <c r="Q74" s="632"/>
      <c r="R74" s="632"/>
      <c r="S74" s="632"/>
      <c r="T74" s="632"/>
      <c r="AD74" s="1"/>
      <c r="AE74" s="288"/>
      <c r="AF74" s="288"/>
      <c r="AG74" s="288"/>
      <c r="AH74" s="288"/>
      <c r="AI74" s="288"/>
    </row>
    <row r="75" spans="1:35" ht="18.75">
      <c r="B75" s="134" t="s">
        <v>452</v>
      </c>
      <c r="AD75" s="1"/>
      <c r="AE75" s="288"/>
      <c r="AF75" s="288"/>
      <c r="AG75" s="288"/>
      <c r="AH75" s="288"/>
      <c r="AI75" s="288"/>
    </row>
    <row r="76" spans="1:35" ht="20.25">
      <c r="A76" s="209"/>
      <c r="B76" s="134" t="s">
        <v>453</v>
      </c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1"/>
      <c r="AE76" s="288"/>
      <c r="AF76" s="288"/>
      <c r="AG76" s="288"/>
      <c r="AH76" s="288"/>
      <c r="AI76" s="288"/>
    </row>
    <row r="77" spans="1:35" ht="24.75" customHeight="1">
      <c r="A77" s="2"/>
      <c r="B77" s="747"/>
      <c r="C77" s="747"/>
      <c r="D77" s="747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35" s="134" customFormat="1" ht="21.75" customHeight="1">
      <c r="B78" s="272"/>
      <c r="C78" s="272"/>
      <c r="D78" s="272"/>
      <c r="E78" s="272"/>
      <c r="F78" s="272"/>
      <c r="G78" s="272"/>
      <c r="H78" s="272"/>
      <c r="I78" s="272"/>
      <c r="P78" s="1127"/>
      <c r="Q78" s="1127"/>
      <c r="R78" s="1127"/>
      <c r="S78" s="1127"/>
      <c r="T78" s="1127"/>
      <c r="U78" s="1127"/>
      <c r="V78" s="1127"/>
      <c r="W78" s="294"/>
      <c r="X78" s="294"/>
      <c r="Y78" s="294"/>
      <c r="Z78" s="294"/>
      <c r="AA78" s="294"/>
      <c r="AB78" s="294"/>
      <c r="AC78" s="294"/>
      <c r="AD78" s="847"/>
    </row>
    <row r="79" spans="1:35" ht="20.25">
      <c r="A79" s="16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175"/>
      <c r="Q79" s="1175"/>
      <c r="R79" s="1175"/>
      <c r="S79" s="1175"/>
      <c r="T79" s="1175"/>
      <c r="U79" s="1175"/>
    </row>
    <row r="80" spans="1: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30" ht="2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209"/>
      <c r="W81" s="209"/>
      <c r="X81" s="209"/>
      <c r="Y81" s="209"/>
      <c r="Z81" s="209"/>
      <c r="AA81" s="209"/>
      <c r="AB81" s="209"/>
      <c r="AC81" s="209"/>
      <c r="AD81" s="856"/>
    </row>
    <row r="82" spans="1: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</sheetData>
  <sheetProtection selectLockedCells="1" selectUnlockedCells="1"/>
  <customSheetViews>
    <customSheetView guid="{8839ED87-9C42-4CC2-A1AD-6EF9611832A1}" scale="85" showPageBreaks="1" fitToPage="1" printArea="1" hiddenRows="1" hiddenColumns="1" view="pageBreakPreview">
      <pane xSplit="2" ySplit="10" topLeftCell="C11" activePane="bottomRight" state="frozen"/>
      <selection pane="bottomRight" activeCell="H41" sqref="H41"/>
      <pageMargins left="0.23622047244094491" right="0.23622047244094491" top="0.32" bottom="0.74803149606299213" header="0.31496062992125984" footer="0.31496062992125984"/>
      <printOptions horizontalCentered="1"/>
      <pageSetup paperSize="9" scale="75" firstPageNumber="0" orientation="portrait" verticalDpi="300" r:id="rId1"/>
      <headerFooter alignWithMargins="0"/>
    </customSheetView>
    <customSheetView guid="{B233FDC7-B79B-43AD-9288-8B6C8ACB6ACB}" scale="85" showPageBreaks="1" fitToPage="1" view="pageBreakPreview">
      <pane xSplit="2" ySplit="10" topLeftCell="C11" activePane="bottomRight" state="frozen"/>
      <selection pane="bottomRight" activeCell="E35" sqref="E35"/>
      <pageMargins left="0.23622047244094491" right="0.23622047244094491" top="0.32" bottom="0.74803149606299213" header="0.31496062992125984" footer="0.31496062992125984"/>
      <printOptions horizontalCentered="1"/>
      <pageSetup paperSize="9" scale="44" firstPageNumber="0" orientation="portrait" verticalDpi="300" r:id="rId2"/>
      <headerFooter alignWithMargins="0"/>
    </customSheetView>
    <customSheetView guid="{BF9F446D-D2F9-4EAA-BD71-B531E336462E}" scale="85" showPageBreaks="1" fitToPage="1" printArea="1" hiddenRows="1" hiddenColumns="1" view="pageBreakPreview">
      <pane xSplit="2" ySplit="10" topLeftCell="C39" activePane="bottomRight" state="frozen"/>
      <selection pane="bottomRight" activeCell="A6" sqref="A6:J6"/>
      <pageMargins left="0.23622047244094491" right="0.23622047244094491" top="0.32" bottom="0.74803149606299213" header="0.31496062992125984" footer="0.31496062992125984"/>
      <printOptions horizontalCentered="1"/>
      <pageSetup paperSize="9" scale="75" firstPageNumber="0" orientation="portrait" verticalDpi="300" r:id="rId3"/>
      <headerFooter alignWithMargins="0"/>
    </customSheetView>
  </customSheetViews>
  <mergeCells count="21">
    <mergeCell ref="A1:O1"/>
    <mergeCell ref="A2:O2"/>
    <mergeCell ref="G4:L4"/>
    <mergeCell ref="M4:R4"/>
    <mergeCell ref="S4:X4"/>
    <mergeCell ref="Y4:AC4"/>
    <mergeCell ref="C4:F4"/>
    <mergeCell ref="W5:X5"/>
    <mergeCell ref="E5:F5"/>
    <mergeCell ref="I5:J5"/>
    <mergeCell ref="O5:P5"/>
    <mergeCell ref="U5:V5"/>
    <mergeCell ref="AB5:AC5"/>
    <mergeCell ref="Q5:R5"/>
    <mergeCell ref="P79:U79"/>
    <mergeCell ref="P78:V78"/>
    <mergeCell ref="B3:P3"/>
    <mergeCell ref="B4:B6"/>
    <mergeCell ref="A4:A6"/>
    <mergeCell ref="K5:L5"/>
    <mergeCell ref="O74:P74"/>
  </mergeCells>
  <phoneticPr fontId="6" type="noConversion"/>
  <pageMargins left="0.98425196850393704" right="0.19685039370078741" top="0.39370078740157483" bottom="0.19685039370078741" header="0" footer="0"/>
  <pageSetup paperSize="9" scale="65" firstPageNumber="0" orientation="portrait" verticalDpi="300" r:id="rId4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IV70"/>
  <sheetViews>
    <sheetView view="pageBreakPreview" zoomScale="60" zoomScaleNormal="100" workbookViewId="0">
      <pane xSplit="2" ySplit="12" topLeftCell="C13" activePane="bottomRight" state="frozen"/>
      <selection activeCell="J34" sqref="J34"/>
      <selection pane="topRight" activeCell="J34" sqref="J34"/>
      <selection pane="bottomLeft" activeCell="J34" sqref="J34"/>
      <selection pane="bottomRight" sqref="A1:U4"/>
    </sheetView>
  </sheetViews>
  <sheetFormatPr defaultColWidth="11.5703125" defaultRowHeight="12.75"/>
  <cols>
    <col min="1" max="1" width="8.42578125" style="535" customWidth="1"/>
    <col min="2" max="2" width="59.42578125" style="1" customWidth="1"/>
    <col min="3" max="3" width="12.7109375" style="1" customWidth="1"/>
    <col min="4" max="4" width="8.5703125" style="1" customWidth="1"/>
    <col min="5" max="5" width="12.28515625" style="1" customWidth="1"/>
    <col min="6" max="6" width="9.5703125" style="1" customWidth="1"/>
    <col min="7" max="7" width="13.7109375" style="1" customWidth="1"/>
    <col min="8" max="8" width="9.7109375" style="1" customWidth="1"/>
    <col min="9" max="9" width="8.85546875" style="1" customWidth="1"/>
    <col min="10" max="10" width="12.5703125" style="1" customWidth="1"/>
    <col min="11" max="11" width="10.28515625" style="1" customWidth="1"/>
    <col min="12" max="12" width="11.28515625" style="1" customWidth="1"/>
    <col min="13" max="13" width="10.42578125" style="1" customWidth="1"/>
    <col min="14" max="14" width="8.7109375" style="1" customWidth="1"/>
    <col min="15" max="15" width="12.28515625" style="1" customWidth="1"/>
    <col min="16" max="16" width="10.42578125" style="1" customWidth="1"/>
    <col min="17" max="17" width="10.7109375" style="1" customWidth="1"/>
    <col min="18" max="18" width="9.85546875" style="1" customWidth="1"/>
    <col min="19" max="19" width="8.85546875" style="1" customWidth="1"/>
    <col min="20" max="20" width="9.5703125" style="1" customWidth="1"/>
    <col min="21" max="21" width="9.85546875" style="1" customWidth="1"/>
    <col min="22" max="22" width="19.140625" style="128" customWidth="1"/>
    <col min="23" max="23" width="11.5703125" style="128" customWidth="1"/>
    <col min="24" max="24" width="15.5703125" style="128" customWidth="1"/>
    <col min="25" max="25" width="16.140625" style="128" customWidth="1"/>
    <col min="26" max="26" width="15" style="128" customWidth="1"/>
    <col min="27" max="27" width="16" style="128" customWidth="1"/>
    <col min="28" max="28" width="11.5703125" style="128" customWidth="1"/>
    <col min="29" max="29" width="19.5703125" style="128" customWidth="1"/>
    <col min="30" max="30" width="7" style="128" customWidth="1"/>
    <col min="31" max="16384" width="11.5703125" style="128"/>
  </cols>
  <sheetData>
    <row r="1" spans="1:256">
      <c r="A1" s="1135" t="s">
        <v>275</v>
      </c>
      <c r="B1" s="1135"/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  <c r="O1" s="1135"/>
      <c r="P1" s="1135"/>
      <c r="Q1" s="1135"/>
      <c r="R1" s="1135"/>
      <c r="S1" s="1135"/>
      <c r="T1" s="1135"/>
      <c r="U1" s="1135"/>
    </row>
    <row r="2" spans="1:256" ht="16.5" customHeight="1">
      <c r="A2" s="1135"/>
      <c r="B2" s="1135"/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</row>
    <row r="3" spans="1:256" ht="18.75">
      <c r="A3" s="1135"/>
      <c r="B3" s="1135"/>
      <c r="C3" s="1135"/>
      <c r="D3" s="1135"/>
      <c r="E3" s="1135"/>
      <c r="F3" s="1135"/>
      <c r="G3" s="1135"/>
      <c r="H3" s="1135"/>
      <c r="I3" s="1135"/>
      <c r="J3" s="1135"/>
      <c r="K3" s="1135"/>
      <c r="L3" s="1135"/>
      <c r="M3" s="1135"/>
      <c r="N3" s="1135"/>
      <c r="O3" s="1135"/>
      <c r="P3" s="1135"/>
      <c r="Q3" s="1135"/>
      <c r="R3" s="1135"/>
      <c r="S3" s="1135"/>
      <c r="T3" s="1135"/>
      <c r="U3" s="1135"/>
      <c r="V3" s="233"/>
      <c r="W3" s="233"/>
      <c r="X3" s="233"/>
      <c r="Y3" s="233"/>
      <c r="Z3" s="233"/>
      <c r="AA3" s="233"/>
      <c r="AB3" s="233"/>
      <c r="AC3" s="233"/>
      <c r="AD3" s="233"/>
    </row>
    <row r="4" spans="1:256">
      <c r="A4" s="1135"/>
      <c r="B4" s="1135"/>
      <c r="C4" s="1135"/>
      <c r="D4" s="1135"/>
      <c r="E4" s="1135"/>
      <c r="F4" s="1135"/>
      <c r="G4" s="1135"/>
      <c r="H4" s="1135"/>
      <c r="I4" s="1135"/>
      <c r="J4" s="1135"/>
      <c r="K4" s="1135"/>
      <c r="L4" s="1135"/>
      <c r="M4" s="1135"/>
      <c r="N4" s="1135"/>
      <c r="O4" s="1135"/>
      <c r="P4" s="1135"/>
      <c r="Q4" s="1135"/>
      <c r="R4" s="1135"/>
      <c r="S4" s="1135"/>
      <c r="T4" s="1135"/>
      <c r="U4" s="1135"/>
    </row>
    <row r="5" spans="1:256" ht="18.75" hidden="1" customHeight="1">
      <c r="A5" s="536"/>
      <c r="B5" s="5"/>
      <c r="C5" s="3"/>
      <c r="D5" s="131"/>
      <c r="E5" s="131"/>
      <c r="F5" s="131"/>
      <c r="G5" s="131"/>
      <c r="Q5" s="29"/>
      <c r="R5" s="29"/>
      <c r="S5" s="29"/>
      <c r="T5" s="29"/>
      <c r="U5" s="29"/>
      <c r="V5" s="234"/>
      <c r="W5" s="234"/>
      <c r="X5" s="234"/>
      <c r="Y5" s="234"/>
      <c r="Z5" s="234"/>
      <c r="AA5" s="234"/>
      <c r="AB5" s="234"/>
      <c r="AC5" s="234"/>
      <c r="AD5" s="234"/>
    </row>
    <row r="6" spans="1:256" ht="20.25" hidden="1">
      <c r="A6" s="537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27"/>
      <c r="T6" s="227"/>
      <c r="U6" s="227"/>
    </row>
    <row r="7" spans="1:256" ht="18.75" hidden="1" customHeight="1">
      <c r="A7" s="537"/>
      <c r="B7" s="270"/>
      <c r="C7" s="270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56"/>
      <c r="T7" s="256"/>
      <c r="U7" s="256"/>
      <c r="V7" s="135"/>
    </row>
    <row r="8" spans="1:256" ht="19.5" thickBot="1">
      <c r="A8" s="538"/>
      <c r="B8" s="1132"/>
      <c r="C8" s="1132"/>
      <c r="D8" s="1132"/>
      <c r="E8" s="1132"/>
      <c r="F8" s="1132"/>
      <c r="G8" s="1132"/>
      <c r="H8" s="1132"/>
      <c r="I8" s="1132"/>
      <c r="J8" s="1132"/>
      <c r="K8" s="1132"/>
      <c r="L8" s="1132"/>
      <c r="M8" s="1132"/>
      <c r="N8" s="228"/>
      <c r="O8" s="228"/>
      <c r="P8" s="228"/>
      <c r="S8" s="132"/>
      <c r="T8" s="132"/>
      <c r="U8" s="132" t="s">
        <v>26</v>
      </c>
    </row>
    <row r="9" spans="1:256" ht="30.75" customHeight="1">
      <c r="A9" s="1182" t="s">
        <v>171</v>
      </c>
      <c r="B9" s="1185" t="s">
        <v>4</v>
      </c>
      <c r="C9" s="1187" t="s">
        <v>193</v>
      </c>
      <c r="D9" s="1188"/>
      <c r="E9" s="1188"/>
      <c r="F9" s="1189"/>
      <c r="G9" s="1187" t="s">
        <v>126</v>
      </c>
      <c r="H9" s="1188"/>
      <c r="I9" s="1188"/>
      <c r="J9" s="1188"/>
      <c r="K9" s="1189"/>
      <c r="L9" s="1187" t="s">
        <v>160</v>
      </c>
      <c r="M9" s="1188"/>
      <c r="N9" s="1188"/>
      <c r="O9" s="1188"/>
      <c r="P9" s="1189"/>
      <c r="Q9" s="1187" t="s">
        <v>157</v>
      </c>
      <c r="R9" s="1188"/>
      <c r="S9" s="1188"/>
      <c r="T9" s="1188"/>
      <c r="U9" s="1191"/>
      <c r="V9" s="1192"/>
      <c r="W9" s="1192"/>
      <c r="X9" s="1192"/>
      <c r="Y9" s="1192"/>
      <c r="Z9" s="1192"/>
      <c r="AA9" s="1192"/>
      <c r="AB9" s="1192"/>
      <c r="AC9" s="1192"/>
    </row>
    <row r="10" spans="1:256" ht="84.75" customHeight="1">
      <c r="A10" s="1183"/>
      <c r="B10" s="1138"/>
      <c r="C10" s="1055" t="s">
        <v>258</v>
      </c>
      <c r="D10" s="1073"/>
      <c r="E10" s="1054" t="s">
        <v>189</v>
      </c>
      <c r="F10" s="1054"/>
      <c r="G10" s="1098" t="s">
        <v>256</v>
      </c>
      <c r="H10" s="1099"/>
      <c r="I10" s="52" t="s">
        <v>194</v>
      </c>
      <c r="J10" s="1071" t="str">
        <f>'Додаток1 скор'!K5</f>
        <v>Скориговані показники (на ТЕ згідно Постанови  №929 від 09.06.2016р.) з 01.07.2016р.</v>
      </c>
      <c r="K10" s="1071"/>
      <c r="L10" s="1098" t="s">
        <v>257</v>
      </c>
      <c r="M10" s="1099"/>
      <c r="N10" s="52" t="s">
        <v>194</v>
      </c>
      <c r="O10" s="1071" t="e">
        <f>'Послуга ЦО'!#REF!</f>
        <v>#REF!</v>
      </c>
      <c r="P10" s="1071"/>
      <c r="Q10" s="1098" t="s">
        <v>257</v>
      </c>
      <c r="R10" s="1099"/>
      <c r="S10" s="52" t="s">
        <v>194</v>
      </c>
      <c r="T10" s="1071" t="e">
        <f>'Послуга ЦО'!#REF!</f>
        <v>#REF!</v>
      </c>
      <c r="U10" s="1071"/>
      <c r="V10" s="1190"/>
      <c r="W10" s="1190"/>
      <c r="X10" s="1190"/>
      <c r="Y10" s="1190"/>
      <c r="Z10" s="1190"/>
      <c r="AA10" s="1190"/>
      <c r="AB10" s="1190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</row>
    <row r="11" spans="1:256" ht="42.6" customHeight="1" thickBot="1">
      <c r="A11" s="1184"/>
      <c r="B11" s="1186"/>
      <c r="C11" s="275" t="s">
        <v>170</v>
      </c>
      <c r="D11" s="275" t="s">
        <v>77</v>
      </c>
      <c r="E11" s="275" t="s">
        <v>170</v>
      </c>
      <c r="F11" s="369" t="s">
        <v>77</v>
      </c>
      <c r="G11" s="275" t="s">
        <v>170</v>
      </c>
      <c r="H11" s="275" t="s">
        <v>77</v>
      </c>
      <c r="I11" s="275" t="s">
        <v>190</v>
      </c>
      <c r="J11" s="275" t="s">
        <v>170</v>
      </c>
      <c r="K11" s="369" t="s">
        <v>77</v>
      </c>
      <c r="L11" s="275" t="s">
        <v>170</v>
      </c>
      <c r="M11" s="275" t="s">
        <v>77</v>
      </c>
      <c r="N11" s="275" t="s">
        <v>190</v>
      </c>
      <c r="O11" s="275" t="s">
        <v>170</v>
      </c>
      <c r="P11" s="369" t="s">
        <v>77</v>
      </c>
      <c r="Q11" s="275" t="s">
        <v>170</v>
      </c>
      <c r="R11" s="275" t="s">
        <v>77</v>
      </c>
      <c r="S11" s="275" t="s">
        <v>190</v>
      </c>
      <c r="T11" s="275" t="s">
        <v>170</v>
      </c>
      <c r="U11" s="438" t="s">
        <v>77</v>
      </c>
      <c r="V11" s="1190"/>
      <c r="W11" s="441"/>
      <c r="X11" s="441"/>
      <c r="Y11" s="441"/>
      <c r="Z11" s="441"/>
      <c r="AA11" s="441"/>
      <c r="AB11" s="441"/>
      <c r="AC11" s="229"/>
    </row>
    <row r="12" spans="1:256" ht="13.5" customHeight="1">
      <c r="A12" s="539">
        <v>1</v>
      </c>
      <c r="B12" s="273">
        <v>2</v>
      </c>
      <c r="C12" s="273">
        <v>3</v>
      </c>
      <c r="D12" s="273">
        <v>4</v>
      </c>
      <c r="E12" s="273">
        <v>5</v>
      </c>
      <c r="F12" s="370">
        <v>6</v>
      </c>
      <c r="G12" s="273">
        <v>7</v>
      </c>
      <c r="H12" s="273">
        <v>8</v>
      </c>
      <c r="I12" s="273">
        <v>9</v>
      </c>
      <c r="J12" s="273">
        <v>10</v>
      </c>
      <c r="K12" s="370">
        <v>11</v>
      </c>
      <c r="L12" s="273">
        <v>12</v>
      </c>
      <c r="M12" s="273">
        <v>13</v>
      </c>
      <c r="N12" s="273">
        <v>14</v>
      </c>
      <c r="O12" s="273">
        <v>15</v>
      </c>
      <c r="P12" s="370">
        <v>16</v>
      </c>
      <c r="Q12" s="273">
        <v>17</v>
      </c>
      <c r="R12" s="274">
        <v>18</v>
      </c>
      <c r="S12" s="274">
        <v>19</v>
      </c>
      <c r="T12" s="274">
        <v>20</v>
      </c>
      <c r="U12" s="439">
        <v>21</v>
      </c>
      <c r="V12" s="1195"/>
      <c r="W12" s="1194"/>
      <c r="X12" s="1194"/>
      <c r="Y12" s="1194"/>
      <c r="Z12" s="1194"/>
      <c r="AA12" s="1194"/>
      <c r="AB12" s="1194"/>
      <c r="AC12" s="235"/>
    </row>
    <row r="13" spans="1:256" s="226" customFormat="1" ht="20.100000000000001" customHeight="1">
      <c r="A13" s="543">
        <v>1</v>
      </c>
      <c r="B13" s="325" t="s">
        <v>29</v>
      </c>
      <c r="C13" s="218">
        <f>G13+L13+Q13</f>
        <v>407.41</v>
      </c>
      <c r="D13" s="214">
        <f t="shared" ref="D13:D43" si="0">C13/$C$45*1000</f>
        <v>1.69</v>
      </c>
      <c r="E13" s="218">
        <f>J13+O13+T13</f>
        <v>491.04</v>
      </c>
      <c r="F13" s="358">
        <f t="shared" ref="F13:F43" si="1">E13/$E$45*1000</f>
        <v>2.0299999999999998</v>
      </c>
      <c r="G13" s="218">
        <f>G15+G16+G19+G22</f>
        <v>346.38</v>
      </c>
      <c r="H13" s="214">
        <f t="shared" ref="H13:H42" si="2">G13/$G$45*1000</f>
        <v>1.69</v>
      </c>
      <c r="I13" s="264">
        <f>J13/G13</f>
        <v>1.2052</v>
      </c>
      <c r="J13" s="218">
        <f>J15+J16+J19+J22</f>
        <v>417.47</v>
      </c>
      <c r="K13" s="358">
        <f t="shared" ref="K13:K42" si="3">J13/$J$45*1000</f>
        <v>2.0299999999999998</v>
      </c>
      <c r="L13" s="218">
        <f>L15+L16+L19+L22</f>
        <v>45.95</v>
      </c>
      <c r="M13" s="214">
        <f t="shared" ref="M13:M42" si="4">L13/$L$45*1000</f>
        <v>1.69</v>
      </c>
      <c r="N13" s="264">
        <f>O13/L13</f>
        <v>1.2052</v>
      </c>
      <c r="O13" s="218">
        <f>O15+O16+O19+O22</f>
        <v>55.38</v>
      </c>
      <c r="P13" s="358">
        <f t="shared" ref="P13:P43" si="5">O13/$O$45*1000</f>
        <v>2.0299999999999998</v>
      </c>
      <c r="Q13" s="218">
        <f>Q15+Q16+Q19+Q22</f>
        <v>15.08</v>
      </c>
      <c r="R13" s="214">
        <f t="shared" ref="R13:R42" si="6">Q13/$Q$45*1000</f>
        <v>1.69</v>
      </c>
      <c r="S13" s="264">
        <f>T13/Q13</f>
        <v>1.2061999999999999</v>
      </c>
      <c r="T13" s="218">
        <f>T15+T16+T19+T22</f>
        <v>18.190000000000001</v>
      </c>
      <c r="U13" s="544">
        <f t="shared" ref="U13:U43" si="7">T13/$T$45*1000</f>
        <v>2.0299999999999998</v>
      </c>
      <c r="V13" s="1195"/>
      <c r="W13" s="1194"/>
      <c r="X13" s="1194"/>
      <c r="Y13" s="1194"/>
      <c r="Z13" s="1194"/>
      <c r="AA13" s="1194"/>
      <c r="AB13" s="1194"/>
      <c r="AC13" s="236"/>
      <c r="AD13" s="443"/>
    </row>
    <row r="14" spans="1:256" s="226" customFormat="1" ht="20.100000000000001" customHeight="1">
      <c r="A14" s="545"/>
      <c r="B14" s="314" t="s">
        <v>271</v>
      </c>
      <c r="C14" s="310">
        <f>C15+C16+C19</f>
        <v>406.34</v>
      </c>
      <c r="D14" s="358">
        <f t="shared" si="0"/>
        <v>1.68</v>
      </c>
      <c r="E14" s="310">
        <f>E15+E16+E19</f>
        <v>489.71</v>
      </c>
      <c r="F14" s="358">
        <f t="shared" si="1"/>
        <v>2.0299999999999998</v>
      </c>
      <c r="G14" s="310">
        <f>G15+G16+G19</f>
        <v>345.47</v>
      </c>
      <c r="H14" s="358">
        <f t="shared" si="2"/>
        <v>1.68</v>
      </c>
      <c r="I14" s="546">
        <f>J14/G14</f>
        <v>1.2051000000000001</v>
      </c>
      <c r="J14" s="310">
        <f>J15+J16+J19</f>
        <v>416.33</v>
      </c>
      <c r="K14" s="358">
        <f t="shared" si="3"/>
        <v>2.0299999999999998</v>
      </c>
      <c r="L14" s="310">
        <f>L15+L16+L19</f>
        <v>45.83</v>
      </c>
      <c r="M14" s="358">
        <f t="shared" si="4"/>
        <v>1.68</v>
      </c>
      <c r="N14" s="546">
        <f>$O$14/$L$14</f>
        <v>1.2053</v>
      </c>
      <c r="O14" s="310">
        <f>O15+O16+O19</f>
        <v>55.24</v>
      </c>
      <c r="P14" s="358">
        <f t="shared" si="5"/>
        <v>2.0299999999999998</v>
      </c>
      <c r="Q14" s="310">
        <f>Q15+Q16+Q19</f>
        <v>15.04</v>
      </c>
      <c r="R14" s="358">
        <f t="shared" si="6"/>
        <v>1.68</v>
      </c>
      <c r="S14" s="546">
        <f>T14/Q14</f>
        <v>1.2060999999999999</v>
      </c>
      <c r="T14" s="310">
        <f>T15+T16+T19</f>
        <v>18.14</v>
      </c>
      <c r="U14" s="544">
        <f t="shared" si="7"/>
        <v>2.0299999999999998</v>
      </c>
      <c r="V14" s="451" t="s">
        <v>379</v>
      </c>
      <c r="W14" s="424"/>
      <c r="X14" s="424"/>
      <c r="Y14" s="424"/>
      <c r="Z14" s="424"/>
      <c r="AA14" s="424"/>
      <c r="AB14" s="442"/>
      <c r="AC14" s="236"/>
      <c r="AD14" s="443"/>
    </row>
    <row r="15" spans="1:256" s="226" customFormat="1" ht="20.100000000000001" customHeight="1" thickBot="1">
      <c r="A15" s="543" t="s">
        <v>31</v>
      </c>
      <c r="B15" s="325" t="s">
        <v>25</v>
      </c>
      <c r="C15" s="218">
        <f t="shared" ref="C15:C43" si="8">G15+L15+Q15</f>
        <v>2.42</v>
      </c>
      <c r="D15" s="214">
        <f t="shared" si="0"/>
        <v>0.01</v>
      </c>
      <c r="E15" s="218">
        <f t="shared" ref="E15:E43" si="9">J15+O15+T15</f>
        <v>2.42</v>
      </c>
      <c r="F15" s="358">
        <f t="shared" si="1"/>
        <v>0.01</v>
      </c>
      <c r="G15" s="218">
        <v>2.06</v>
      </c>
      <c r="H15" s="214">
        <f t="shared" si="2"/>
        <v>0.01</v>
      </c>
      <c r="I15" s="264">
        <f>IF(G15=0,0,1)</f>
        <v>1</v>
      </c>
      <c r="J15" s="214">
        <f>G15*I15</f>
        <v>2.06</v>
      </c>
      <c r="K15" s="358">
        <f t="shared" si="3"/>
        <v>0.01</v>
      </c>
      <c r="L15" s="214">
        <v>0.27</v>
      </c>
      <c r="M15" s="214">
        <f t="shared" si="4"/>
        <v>0.01</v>
      </c>
      <c r="N15" s="264">
        <f>IF(L15=0,0,1)</f>
        <v>1</v>
      </c>
      <c r="O15" s="214">
        <f>L15*N15</f>
        <v>0.27</v>
      </c>
      <c r="P15" s="358">
        <f t="shared" si="5"/>
        <v>0.01</v>
      </c>
      <c r="Q15" s="214">
        <v>0.09</v>
      </c>
      <c r="R15" s="214">
        <f t="shared" si="6"/>
        <v>0.01</v>
      </c>
      <c r="S15" s="264">
        <f>IF(Q15=0,0,1)</f>
        <v>1</v>
      </c>
      <c r="T15" s="214">
        <f>Q15*S15</f>
        <v>0.09</v>
      </c>
      <c r="U15" s="544">
        <f t="shared" si="7"/>
        <v>0.01</v>
      </c>
      <c r="V15" s="597"/>
      <c r="W15" s="598"/>
      <c r="X15" s="598" t="s">
        <v>308</v>
      </c>
      <c r="Y15" s="598" t="s">
        <v>309</v>
      </c>
      <c r="Z15" s="598" t="s">
        <v>336</v>
      </c>
      <c r="AA15" s="598" t="s">
        <v>314</v>
      </c>
      <c r="AB15" s="457"/>
      <c r="AC15" s="236"/>
      <c r="AD15" s="443"/>
    </row>
    <row r="16" spans="1:256" s="226" customFormat="1" ht="39" customHeight="1">
      <c r="A16" s="366" t="s">
        <v>40</v>
      </c>
      <c r="B16" s="325" t="s">
        <v>342</v>
      </c>
      <c r="C16" s="218">
        <f>G16+L16+Q16</f>
        <v>288.94</v>
      </c>
      <c r="D16" s="214">
        <f t="shared" si="0"/>
        <v>1.2</v>
      </c>
      <c r="E16" s="218">
        <f>J16+O16+T16</f>
        <v>372.31</v>
      </c>
      <c r="F16" s="358">
        <f t="shared" si="1"/>
        <v>1.54</v>
      </c>
      <c r="G16" s="218">
        <f>G17+G18</f>
        <v>245.66</v>
      </c>
      <c r="H16" s="214">
        <f t="shared" si="2"/>
        <v>1.2</v>
      </c>
      <c r="I16" s="264">
        <f>$I$52</f>
        <v>1.2884</v>
      </c>
      <c r="J16" s="214">
        <f>J17+J18</f>
        <v>316.52</v>
      </c>
      <c r="K16" s="358">
        <f t="shared" si="3"/>
        <v>1.54</v>
      </c>
      <c r="L16" s="214">
        <f>L17+L18</f>
        <v>32.590000000000003</v>
      </c>
      <c r="M16" s="214">
        <f t="shared" si="4"/>
        <v>1.2</v>
      </c>
      <c r="N16" s="264">
        <f>$N$52</f>
        <v>1.2884</v>
      </c>
      <c r="O16" s="214">
        <f>O17+O18</f>
        <v>42</v>
      </c>
      <c r="P16" s="358">
        <f t="shared" si="5"/>
        <v>1.54</v>
      </c>
      <c r="Q16" s="214">
        <f>Q17+Q18</f>
        <v>10.69</v>
      </c>
      <c r="R16" s="214">
        <f t="shared" si="6"/>
        <v>1.2</v>
      </c>
      <c r="S16" s="264">
        <f>$S$52</f>
        <v>1.2884</v>
      </c>
      <c r="T16" s="214">
        <f>T17+T18</f>
        <v>13.79</v>
      </c>
      <c r="U16" s="544">
        <f t="shared" si="7"/>
        <v>1.54</v>
      </c>
      <c r="V16" s="1162" t="s">
        <v>335</v>
      </c>
      <c r="W16" s="601" t="s">
        <v>337</v>
      </c>
      <c r="X16" s="602">
        <f>X18/1.22</f>
        <v>259.44170800000001</v>
      </c>
      <c r="Y16" s="602">
        <f>Y18/1.22</f>
        <v>34.427454400000002</v>
      </c>
      <c r="Z16" s="602">
        <f>Z18/1.22</f>
        <v>11.295676800000001</v>
      </c>
      <c r="AA16" s="603">
        <f>SUM(X16:Z16)</f>
        <v>305.16483920000002</v>
      </c>
      <c r="AB16" s="457"/>
      <c r="AC16" s="236"/>
      <c r="AD16" s="443"/>
    </row>
    <row r="17" spans="1:30" s="428" customFormat="1" ht="24" customHeight="1">
      <c r="A17" s="365" t="s">
        <v>343</v>
      </c>
      <c r="B17" s="329" t="s">
        <v>41</v>
      </c>
      <c r="C17" s="220">
        <f t="shared" si="8"/>
        <v>210.82</v>
      </c>
      <c r="D17" s="547">
        <f t="shared" si="0"/>
        <v>0.87</v>
      </c>
      <c r="E17" s="220">
        <f t="shared" si="9"/>
        <v>305.17</v>
      </c>
      <c r="F17" s="548">
        <f t="shared" si="1"/>
        <v>1.26</v>
      </c>
      <c r="G17" s="220">
        <v>179.24</v>
      </c>
      <c r="H17" s="547">
        <f t="shared" si="2"/>
        <v>0.87</v>
      </c>
      <c r="I17" s="549">
        <f>$I$52</f>
        <v>1.2884</v>
      </c>
      <c r="J17" s="547">
        <f>X16</f>
        <v>259.44</v>
      </c>
      <c r="K17" s="548">
        <f t="shared" si="3"/>
        <v>1.26</v>
      </c>
      <c r="L17" s="547">
        <v>23.78</v>
      </c>
      <c r="M17" s="547">
        <f t="shared" si="4"/>
        <v>0.87</v>
      </c>
      <c r="N17" s="549">
        <f>$N$52</f>
        <v>1.2884</v>
      </c>
      <c r="O17" s="547">
        <f>Y16</f>
        <v>34.43</v>
      </c>
      <c r="P17" s="548">
        <f t="shared" si="5"/>
        <v>1.26</v>
      </c>
      <c r="Q17" s="547">
        <v>7.8</v>
      </c>
      <c r="R17" s="547">
        <f t="shared" si="6"/>
        <v>0.87</v>
      </c>
      <c r="S17" s="549">
        <f>$S$52</f>
        <v>1.2884</v>
      </c>
      <c r="T17" s="547">
        <f>Z16</f>
        <v>11.3</v>
      </c>
      <c r="U17" s="550">
        <f t="shared" si="7"/>
        <v>1.26</v>
      </c>
      <c r="V17" s="1163"/>
      <c r="W17" s="588" t="s">
        <v>338</v>
      </c>
      <c r="X17" s="456">
        <f>X18-X16</f>
        <v>57.077175699999998</v>
      </c>
      <c r="Y17" s="456">
        <f>Y18-Y16</f>
        <v>7.5740400000000001</v>
      </c>
      <c r="Z17" s="456">
        <f>Z18-Z16</f>
        <v>2.4850488999999998</v>
      </c>
      <c r="AA17" s="604">
        <f t="shared" ref="AA17:AA27" si="10">SUM(X17:Z17)</f>
        <v>67.136264600000004</v>
      </c>
      <c r="AB17" s="442"/>
      <c r="AC17" s="237"/>
      <c r="AD17" s="263"/>
    </row>
    <row r="18" spans="1:30" s="226" customFormat="1" ht="20.100000000000001" customHeight="1" thickBot="1">
      <c r="A18" s="365" t="s">
        <v>344</v>
      </c>
      <c r="B18" s="329" t="s">
        <v>45</v>
      </c>
      <c r="C18" s="220">
        <f>G18+L18+Q18</f>
        <v>78.12</v>
      </c>
      <c r="D18" s="547">
        <f t="shared" si="0"/>
        <v>0.32</v>
      </c>
      <c r="E18" s="220">
        <f>J18+O18+T18</f>
        <v>67.14</v>
      </c>
      <c r="F18" s="548">
        <f t="shared" si="1"/>
        <v>0.28000000000000003</v>
      </c>
      <c r="G18" s="220">
        <v>66.42</v>
      </c>
      <c r="H18" s="547">
        <f t="shared" si="2"/>
        <v>0.32</v>
      </c>
      <c r="I18" s="549">
        <f>$I$52</f>
        <v>1.2884</v>
      </c>
      <c r="J18" s="547">
        <f>X17</f>
        <v>57.08</v>
      </c>
      <c r="K18" s="548">
        <f t="shared" si="3"/>
        <v>0.28000000000000003</v>
      </c>
      <c r="L18" s="547">
        <v>8.81</v>
      </c>
      <c r="M18" s="547">
        <f t="shared" si="4"/>
        <v>0.32</v>
      </c>
      <c r="N18" s="549">
        <f>$N$52</f>
        <v>1.2884</v>
      </c>
      <c r="O18" s="547">
        <f>Y17</f>
        <v>7.57</v>
      </c>
      <c r="P18" s="548">
        <f t="shared" si="5"/>
        <v>0.28000000000000003</v>
      </c>
      <c r="Q18" s="547">
        <v>2.89</v>
      </c>
      <c r="R18" s="547">
        <f t="shared" si="6"/>
        <v>0.32</v>
      </c>
      <c r="S18" s="549">
        <f>$S$52</f>
        <v>1.2884</v>
      </c>
      <c r="T18" s="547">
        <f>Z17</f>
        <v>2.4900000000000002</v>
      </c>
      <c r="U18" s="550">
        <f t="shared" si="7"/>
        <v>0.28000000000000003</v>
      </c>
      <c r="V18" s="1164"/>
      <c r="W18" s="605" t="s">
        <v>339</v>
      </c>
      <c r="X18" s="606">
        <v>316.5188837</v>
      </c>
      <c r="Y18" s="607">
        <v>42.001494399999999</v>
      </c>
      <c r="Z18" s="607">
        <v>13.7807257</v>
      </c>
      <c r="AA18" s="608">
        <f t="shared" si="10"/>
        <v>372.30110380000002</v>
      </c>
      <c r="AB18" s="457"/>
      <c r="AC18" s="236"/>
      <c r="AD18" s="443"/>
    </row>
    <row r="19" spans="1:30" s="428" customFormat="1" ht="20.100000000000001" customHeight="1">
      <c r="A19" s="543" t="s">
        <v>42</v>
      </c>
      <c r="B19" s="325" t="s">
        <v>146</v>
      </c>
      <c r="C19" s="218">
        <f t="shared" si="8"/>
        <v>114.98</v>
      </c>
      <c r="D19" s="214">
        <f t="shared" si="0"/>
        <v>0.48</v>
      </c>
      <c r="E19" s="218">
        <f t="shared" si="9"/>
        <v>114.98</v>
      </c>
      <c r="F19" s="358">
        <f t="shared" si="1"/>
        <v>0.48</v>
      </c>
      <c r="G19" s="218">
        <f>SUM(G20:G21)</f>
        <v>97.75</v>
      </c>
      <c r="H19" s="214">
        <f t="shared" si="2"/>
        <v>0.48</v>
      </c>
      <c r="I19" s="264">
        <f>$J$19/$G$19</f>
        <v>1</v>
      </c>
      <c r="J19" s="218">
        <f>SUM(J20:J21)</f>
        <v>97.75</v>
      </c>
      <c r="K19" s="358">
        <f t="shared" si="3"/>
        <v>0.48</v>
      </c>
      <c r="L19" s="218">
        <f>SUM(L20:L21)</f>
        <v>12.97</v>
      </c>
      <c r="M19" s="214">
        <f t="shared" si="4"/>
        <v>0.48</v>
      </c>
      <c r="N19" s="264">
        <f>$O$19/$L$19</f>
        <v>1</v>
      </c>
      <c r="O19" s="218">
        <f>SUM(O20:O21)</f>
        <v>12.97</v>
      </c>
      <c r="P19" s="358">
        <f t="shared" si="5"/>
        <v>0.48</v>
      </c>
      <c r="Q19" s="218">
        <f>SUM(Q20:Q21)</f>
        <v>4.26</v>
      </c>
      <c r="R19" s="214">
        <f t="shared" si="6"/>
        <v>0.48</v>
      </c>
      <c r="S19" s="264">
        <f>T19/Q19</f>
        <v>1</v>
      </c>
      <c r="T19" s="218">
        <f>SUM(T20:T21)</f>
        <v>4.26</v>
      </c>
      <c r="U19" s="544">
        <f t="shared" si="7"/>
        <v>0.48</v>
      </c>
      <c r="V19" s="1144" t="s">
        <v>340</v>
      </c>
      <c r="W19" s="599" t="s">
        <v>337</v>
      </c>
      <c r="X19" s="600">
        <f>X21/1.22</f>
        <v>0.84165749999999995</v>
      </c>
      <c r="Y19" s="600">
        <f>Y21/1.22</f>
        <v>0.11168649999999999</v>
      </c>
      <c r="Z19" s="600">
        <f>Z21/1.22</f>
        <v>3.6644400000000001E-2</v>
      </c>
      <c r="AA19" s="600">
        <f t="shared" si="10"/>
        <v>0.98998839999999999</v>
      </c>
      <c r="AB19" s="457"/>
      <c r="AC19" s="237"/>
      <c r="AD19" s="263"/>
    </row>
    <row r="20" spans="1:30" s="226" customFormat="1" ht="20.100000000000001" customHeight="1">
      <c r="A20" s="365" t="s">
        <v>46</v>
      </c>
      <c r="B20" s="329" t="s">
        <v>47</v>
      </c>
      <c r="C20" s="220">
        <f t="shared" si="8"/>
        <v>0.16</v>
      </c>
      <c r="D20" s="547">
        <f t="shared" si="0"/>
        <v>0</v>
      </c>
      <c r="E20" s="220">
        <f t="shared" si="9"/>
        <v>0.16</v>
      </c>
      <c r="F20" s="548">
        <f t="shared" si="1"/>
        <v>0</v>
      </c>
      <c r="G20" s="220">
        <v>0.13</v>
      </c>
      <c r="H20" s="547">
        <f t="shared" si="2"/>
        <v>0</v>
      </c>
      <c r="I20" s="549">
        <f>IF(G20=0,0,1)</f>
        <v>1</v>
      </c>
      <c r="J20" s="547">
        <f>G20*I20</f>
        <v>0.13</v>
      </c>
      <c r="K20" s="548">
        <f t="shared" si="3"/>
        <v>0</v>
      </c>
      <c r="L20" s="547">
        <v>0.02</v>
      </c>
      <c r="M20" s="547">
        <f t="shared" si="4"/>
        <v>0</v>
      </c>
      <c r="N20" s="549">
        <f>IF(L20=0,0,1)</f>
        <v>1</v>
      </c>
      <c r="O20" s="547">
        <f>L20*N20</f>
        <v>0.02</v>
      </c>
      <c r="P20" s="548">
        <f t="shared" si="5"/>
        <v>0</v>
      </c>
      <c r="Q20" s="547">
        <v>0.01</v>
      </c>
      <c r="R20" s="547">
        <f t="shared" si="6"/>
        <v>0</v>
      </c>
      <c r="S20" s="549">
        <f>IF(Q20=0,0,1)</f>
        <v>1</v>
      </c>
      <c r="T20" s="547">
        <f>Q20*S20</f>
        <v>0.01</v>
      </c>
      <c r="U20" s="550">
        <f t="shared" si="7"/>
        <v>0</v>
      </c>
      <c r="V20" s="1089"/>
      <c r="W20" s="588" t="s">
        <v>338</v>
      </c>
      <c r="X20" s="456">
        <f>X21-X19</f>
        <v>0.18516460000000001</v>
      </c>
      <c r="Y20" s="456">
        <f>Y21-Y19</f>
        <v>2.4570999999999999E-2</v>
      </c>
      <c r="Z20" s="456">
        <f>Z21-Z19</f>
        <v>8.0617999999999992E-3</v>
      </c>
      <c r="AA20" s="589">
        <f t="shared" si="10"/>
        <v>0.2177974</v>
      </c>
      <c r="AB20" s="1193"/>
      <c r="AC20" s="236"/>
      <c r="AD20" s="443"/>
    </row>
    <row r="21" spans="1:30" s="444" customFormat="1" ht="20.100000000000001" customHeight="1" thickBot="1">
      <c r="A21" s="365" t="s">
        <v>48</v>
      </c>
      <c r="B21" s="329" t="s">
        <v>49</v>
      </c>
      <c r="C21" s="220">
        <f t="shared" si="8"/>
        <v>114.82</v>
      </c>
      <c r="D21" s="547">
        <f t="shared" si="0"/>
        <v>0.48</v>
      </c>
      <c r="E21" s="220">
        <f t="shared" si="9"/>
        <v>114.82</v>
      </c>
      <c r="F21" s="548">
        <f t="shared" si="1"/>
        <v>0.48</v>
      </c>
      <c r="G21" s="220">
        <v>97.62</v>
      </c>
      <c r="H21" s="547">
        <f t="shared" si="2"/>
        <v>0.48</v>
      </c>
      <c r="I21" s="549">
        <f>IF(G21=0,0,1)</f>
        <v>1</v>
      </c>
      <c r="J21" s="547">
        <f>G21*I21</f>
        <v>97.62</v>
      </c>
      <c r="K21" s="548">
        <f t="shared" si="3"/>
        <v>0.48</v>
      </c>
      <c r="L21" s="547">
        <v>12.95</v>
      </c>
      <c r="M21" s="547">
        <f t="shared" si="4"/>
        <v>0.48</v>
      </c>
      <c r="N21" s="549">
        <f>IF(L21=0,0,1)</f>
        <v>1</v>
      </c>
      <c r="O21" s="547">
        <f>L21*N21</f>
        <v>12.95</v>
      </c>
      <c r="P21" s="548">
        <f t="shared" si="5"/>
        <v>0.48</v>
      </c>
      <c r="Q21" s="547">
        <v>4.25</v>
      </c>
      <c r="R21" s="547">
        <f t="shared" si="6"/>
        <v>0.48</v>
      </c>
      <c r="S21" s="549">
        <f>IF(Q21=0,0,1)</f>
        <v>1</v>
      </c>
      <c r="T21" s="547">
        <f>Q21*S21</f>
        <v>4.25</v>
      </c>
      <c r="U21" s="550">
        <f t="shared" si="7"/>
        <v>0.48</v>
      </c>
      <c r="V21" s="1145"/>
      <c r="W21" s="609" t="s">
        <v>339</v>
      </c>
      <c r="X21" s="610">
        <v>1.0268221</v>
      </c>
      <c r="Y21" s="610">
        <v>0.1362575</v>
      </c>
      <c r="Z21" s="610">
        <v>4.4706200000000001E-2</v>
      </c>
      <c r="AA21" s="611">
        <f t="shared" si="10"/>
        <v>1.2077857999999999</v>
      </c>
      <c r="AB21" s="1193"/>
      <c r="AC21" s="237"/>
      <c r="AD21" s="263"/>
    </row>
    <row r="22" spans="1:30" s="444" customFormat="1" ht="20.100000000000001" customHeight="1">
      <c r="A22" s="545" t="s">
        <v>50</v>
      </c>
      <c r="B22" s="331" t="s">
        <v>148</v>
      </c>
      <c r="C22" s="310">
        <f t="shared" si="8"/>
        <v>1.07</v>
      </c>
      <c r="D22" s="358">
        <f t="shared" si="0"/>
        <v>0</v>
      </c>
      <c r="E22" s="310">
        <f t="shared" si="9"/>
        <v>1.33</v>
      </c>
      <c r="F22" s="358">
        <f t="shared" si="1"/>
        <v>0.01</v>
      </c>
      <c r="G22" s="310">
        <f>SUM(G24:G26)</f>
        <v>0.91</v>
      </c>
      <c r="H22" s="358">
        <f t="shared" si="2"/>
        <v>0</v>
      </c>
      <c r="I22" s="546">
        <f>J22/G22</f>
        <v>1.2526999999999999</v>
      </c>
      <c r="J22" s="358">
        <f>SUM(J24:J26)</f>
        <v>1.1399999999999999</v>
      </c>
      <c r="K22" s="358">
        <f t="shared" si="3"/>
        <v>0.01</v>
      </c>
      <c r="L22" s="358">
        <f>SUM(L24:L26)</f>
        <v>0.12</v>
      </c>
      <c r="M22" s="358">
        <f t="shared" si="4"/>
        <v>0</v>
      </c>
      <c r="N22" s="546">
        <f>O22/L22</f>
        <v>1.1667000000000001</v>
      </c>
      <c r="O22" s="358">
        <f>SUM(O24:O26)</f>
        <v>0.14000000000000001</v>
      </c>
      <c r="P22" s="358">
        <f t="shared" si="5"/>
        <v>0.01</v>
      </c>
      <c r="Q22" s="358">
        <f>SUM(Q24:Q26)</f>
        <v>0.04</v>
      </c>
      <c r="R22" s="358">
        <f t="shared" si="6"/>
        <v>0</v>
      </c>
      <c r="S22" s="546">
        <f>T22/Q22</f>
        <v>1.25</v>
      </c>
      <c r="T22" s="358">
        <f>SUM(T24:T26)</f>
        <v>0.05</v>
      </c>
      <c r="U22" s="544">
        <f t="shared" si="7"/>
        <v>0.01</v>
      </c>
      <c r="V22" s="1151" t="s">
        <v>341</v>
      </c>
      <c r="W22" s="601" t="s">
        <v>337</v>
      </c>
      <c r="X22" s="602">
        <f>X24/1.22</f>
        <v>9.7115547000000007</v>
      </c>
      <c r="Y22" s="602">
        <f>Y24/1.22</f>
        <v>1.2887061</v>
      </c>
      <c r="Z22" s="602">
        <f>Z24/1.22</f>
        <v>0.42282560000000002</v>
      </c>
      <c r="AA22" s="603">
        <f t="shared" si="10"/>
        <v>11.423086400000001</v>
      </c>
      <c r="AB22" s="239"/>
      <c r="AC22" s="237"/>
      <c r="AD22" s="263"/>
    </row>
    <row r="23" spans="1:30" s="444" customFormat="1" ht="37.5" customHeight="1">
      <c r="A23" s="374" t="s">
        <v>52</v>
      </c>
      <c r="B23" s="329" t="s">
        <v>345</v>
      </c>
      <c r="C23" s="220">
        <f>G23+L23+Q23</f>
        <v>0.95</v>
      </c>
      <c r="D23" s="547">
        <f t="shared" si="0"/>
        <v>0</v>
      </c>
      <c r="E23" s="220">
        <f>J23+O23+T23</f>
        <v>1.21</v>
      </c>
      <c r="F23" s="548">
        <f t="shared" si="1"/>
        <v>0.01</v>
      </c>
      <c r="G23" s="220">
        <f>G24+G25</f>
        <v>0.8</v>
      </c>
      <c r="H23" s="547">
        <f t="shared" si="2"/>
        <v>0</v>
      </c>
      <c r="I23" s="549">
        <f>$I$52</f>
        <v>1.2884</v>
      </c>
      <c r="J23" s="220">
        <f>J24+J25</f>
        <v>1.03</v>
      </c>
      <c r="K23" s="548">
        <f t="shared" si="3"/>
        <v>0.01</v>
      </c>
      <c r="L23" s="220">
        <f>L24+L25</f>
        <v>0.11</v>
      </c>
      <c r="M23" s="547">
        <f t="shared" si="4"/>
        <v>0</v>
      </c>
      <c r="N23" s="549">
        <f>$N$52</f>
        <v>1.2884</v>
      </c>
      <c r="O23" s="220">
        <f>O24+O25</f>
        <v>0.13</v>
      </c>
      <c r="P23" s="548">
        <f t="shared" si="5"/>
        <v>0</v>
      </c>
      <c r="Q23" s="220">
        <f>Q24+Q25</f>
        <v>0.04</v>
      </c>
      <c r="R23" s="547">
        <f t="shared" si="6"/>
        <v>0</v>
      </c>
      <c r="S23" s="549">
        <f>$S$52</f>
        <v>1.2884</v>
      </c>
      <c r="T23" s="220">
        <f>T24+T25</f>
        <v>0.05</v>
      </c>
      <c r="U23" s="550">
        <f t="shared" si="7"/>
        <v>0.01</v>
      </c>
      <c r="V23" s="1152"/>
      <c r="W23" s="588" t="s">
        <v>338</v>
      </c>
      <c r="X23" s="456">
        <f>X24-X22</f>
        <v>2.1365419999999999</v>
      </c>
      <c r="Y23" s="456">
        <f>Y24-Y22</f>
        <v>0.28351530000000003</v>
      </c>
      <c r="Z23" s="456">
        <f>Z24-Z22</f>
        <v>9.3021599999999996E-2</v>
      </c>
      <c r="AA23" s="604">
        <f t="shared" si="10"/>
        <v>2.5130789</v>
      </c>
      <c r="AB23" s="239"/>
      <c r="AC23" s="237"/>
      <c r="AD23" s="263"/>
    </row>
    <row r="24" spans="1:30" s="226" customFormat="1" ht="20.100000000000001" customHeight="1" thickBot="1">
      <c r="A24" s="328" t="s">
        <v>346</v>
      </c>
      <c r="B24" s="458" t="s">
        <v>53</v>
      </c>
      <c r="C24" s="220">
        <f t="shared" si="8"/>
        <v>0.69</v>
      </c>
      <c r="D24" s="547">
        <f t="shared" si="0"/>
        <v>0</v>
      </c>
      <c r="E24" s="220">
        <f t="shared" si="9"/>
        <v>0.99</v>
      </c>
      <c r="F24" s="548">
        <f t="shared" si="1"/>
        <v>0</v>
      </c>
      <c r="G24" s="220">
        <v>0.57999999999999996</v>
      </c>
      <c r="H24" s="547">
        <f t="shared" si="2"/>
        <v>0</v>
      </c>
      <c r="I24" s="549">
        <f>$I$52</f>
        <v>1.2884</v>
      </c>
      <c r="J24" s="547">
        <f>X19</f>
        <v>0.84</v>
      </c>
      <c r="K24" s="548">
        <f t="shared" si="3"/>
        <v>0</v>
      </c>
      <c r="L24" s="547">
        <v>0.08</v>
      </c>
      <c r="M24" s="547">
        <f t="shared" si="4"/>
        <v>0</v>
      </c>
      <c r="N24" s="549">
        <f>$N$52</f>
        <v>1.2884</v>
      </c>
      <c r="O24" s="547">
        <f>Y19</f>
        <v>0.11</v>
      </c>
      <c r="P24" s="548">
        <f t="shared" si="5"/>
        <v>0</v>
      </c>
      <c r="Q24" s="547">
        <v>0.03</v>
      </c>
      <c r="R24" s="547">
        <f t="shared" si="6"/>
        <v>0</v>
      </c>
      <c r="S24" s="549">
        <f>$S$52</f>
        <v>1.2884</v>
      </c>
      <c r="T24" s="547">
        <f>Z19</f>
        <v>0.04</v>
      </c>
      <c r="U24" s="550">
        <f t="shared" si="7"/>
        <v>0</v>
      </c>
      <c r="V24" s="1153"/>
      <c r="W24" s="605" t="s">
        <v>339</v>
      </c>
      <c r="X24" s="606">
        <v>11.848096699999999</v>
      </c>
      <c r="Y24" s="606">
        <v>1.5722214000000001</v>
      </c>
      <c r="Z24" s="606">
        <v>0.51584719999999995</v>
      </c>
      <c r="AA24" s="608">
        <f t="shared" si="10"/>
        <v>13.936165300000001</v>
      </c>
      <c r="AB24" s="241"/>
      <c r="AC24" s="236"/>
      <c r="AD24" s="443"/>
    </row>
    <row r="25" spans="1:30" s="226" customFormat="1" ht="20.100000000000001" customHeight="1">
      <c r="A25" s="328" t="s">
        <v>347</v>
      </c>
      <c r="B25" s="458" t="s">
        <v>45</v>
      </c>
      <c r="C25" s="220">
        <f t="shared" si="8"/>
        <v>0.26</v>
      </c>
      <c r="D25" s="547">
        <f t="shared" si="0"/>
        <v>0</v>
      </c>
      <c r="E25" s="220">
        <f t="shared" si="9"/>
        <v>0.22</v>
      </c>
      <c r="F25" s="548">
        <f t="shared" si="1"/>
        <v>0</v>
      </c>
      <c r="G25" s="220">
        <v>0.22</v>
      </c>
      <c r="H25" s="547">
        <f t="shared" si="2"/>
        <v>0</v>
      </c>
      <c r="I25" s="549">
        <f>$I$52</f>
        <v>1.2884</v>
      </c>
      <c r="J25" s="547">
        <f>X20</f>
        <v>0.19</v>
      </c>
      <c r="K25" s="548">
        <f t="shared" si="3"/>
        <v>0</v>
      </c>
      <c r="L25" s="547">
        <v>0.03</v>
      </c>
      <c r="M25" s="547">
        <f t="shared" si="4"/>
        <v>0</v>
      </c>
      <c r="N25" s="549">
        <f>$N$52</f>
        <v>1.2884</v>
      </c>
      <c r="O25" s="547">
        <f>Y20</f>
        <v>0.02</v>
      </c>
      <c r="P25" s="548">
        <f t="shared" si="5"/>
        <v>0</v>
      </c>
      <c r="Q25" s="547">
        <v>0.01</v>
      </c>
      <c r="R25" s="547">
        <f t="shared" si="6"/>
        <v>0</v>
      </c>
      <c r="S25" s="549">
        <f>$S$52</f>
        <v>1.2884</v>
      </c>
      <c r="T25" s="547">
        <f>Z20</f>
        <v>0.01</v>
      </c>
      <c r="U25" s="550">
        <f t="shared" si="7"/>
        <v>0</v>
      </c>
      <c r="V25" s="1144" t="s">
        <v>314</v>
      </c>
      <c r="W25" s="612" t="s">
        <v>337</v>
      </c>
      <c r="X25" s="613">
        <f>X16+X19+X22</f>
        <v>269.99492020000002</v>
      </c>
      <c r="Y25" s="613">
        <f>Y16+Y19+Y22</f>
        <v>35.827846999999998</v>
      </c>
      <c r="Z25" s="613">
        <f>Z16+Z19+Z22</f>
        <v>11.7551468</v>
      </c>
      <c r="AA25" s="614">
        <f t="shared" si="10"/>
        <v>317.57791400000002</v>
      </c>
      <c r="AB25" s="241"/>
      <c r="AC25" s="236"/>
      <c r="AD25" s="443"/>
    </row>
    <row r="26" spans="1:30" s="444" customFormat="1" ht="20.100000000000001" customHeight="1">
      <c r="A26" s="365" t="s">
        <v>54</v>
      </c>
      <c r="B26" s="329" t="s">
        <v>56</v>
      </c>
      <c r="C26" s="220">
        <f t="shared" si="8"/>
        <v>0.12</v>
      </c>
      <c r="D26" s="547">
        <f t="shared" si="0"/>
        <v>0</v>
      </c>
      <c r="E26" s="220">
        <f t="shared" si="9"/>
        <v>0.12</v>
      </c>
      <c r="F26" s="548">
        <f t="shared" si="1"/>
        <v>0</v>
      </c>
      <c r="G26" s="220">
        <v>0.11</v>
      </c>
      <c r="H26" s="547">
        <f t="shared" si="2"/>
        <v>0</v>
      </c>
      <c r="I26" s="549">
        <f>IF(G26=0,0,1)</f>
        <v>1</v>
      </c>
      <c r="J26" s="547">
        <f>G26*I26</f>
        <v>0.11</v>
      </c>
      <c r="K26" s="548">
        <f t="shared" si="3"/>
        <v>0</v>
      </c>
      <c r="L26" s="547">
        <v>0.01</v>
      </c>
      <c r="M26" s="547">
        <f t="shared" si="4"/>
        <v>0</v>
      </c>
      <c r="N26" s="549">
        <f>IF(L26=0,0,1)</f>
        <v>1</v>
      </c>
      <c r="O26" s="547">
        <f>L26*N26</f>
        <v>0.01</v>
      </c>
      <c r="P26" s="548">
        <f t="shared" si="5"/>
        <v>0</v>
      </c>
      <c r="Q26" s="547">
        <v>0</v>
      </c>
      <c r="R26" s="547">
        <f t="shared" si="6"/>
        <v>0</v>
      </c>
      <c r="S26" s="549">
        <f>IF(Q26=0,0,1)</f>
        <v>0</v>
      </c>
      <c r="T26" s="547">
        <f>Q26*S26</f>
        <v>0</v>
      </c>
      <c r="U26" s="550">
        <f t="shared" si="7"/>
        <v>0</v>
      </c>
      <c r="V26" s="1089"/>
      <c r="W26" s="452" t="s">
        <v>338</v>
      </c>
      <c r="X26" s="456">
        <f t="shared" ref="X26:Z27" si="11">X17+X20+X23</f>
        <v>59.398882299999997</v>
      </c>
      <c r="Y26" s="456">
        <f t="shared" si="11"/>
        <v>7.8821263000000004</v>
      </c>
      <c r="Z26" s="456">
        <f t="shared" si="11"/>
        <v>2.5861323000000001</v>
      </c>
      <c r="AA26" s="454">
        <f t="shared" si="10"/>
        <v>69.867140899999995</v>
      </c>
      <c r="AB26" s="239"/>
      <c r="AC26" s="237"/>
      <c r="AD26" s="263"/>
    </row>
    <row r="27" spans="1:30" s="444" customFormat="1" ht="20.100000000000001" customHeight="1">
      <c r="A27" s="545">
        <v>2</v>
      </c>
      <c r="B27" s="331" t="s">
        <v>141</v>
      </c>
      <c r="C27" s="310">
        <f t="shared" si="8"/>
        <v>12.58</v>
      </c>
      <c r="D27" s="358">
        <f t="shared" si="0"/>
        <v>0.05</v>
      </c>
      <c r="E27" s="310">
        <f t="shared" si="9"/>
        <v>15.69</v>
      </c>
      <c r="F27" s="358">
        <f t="shared" si="1"/>
        <v>0.06</v>
      </c>
      <c r="G27" s="310">
        <f>SUM(G29:G31)</f>
        <v>10.69</v>
      </c>
      <c r="H27" s="358">
        <f t="shared" si="2"/>
        <v>0.05</v>
      </c>
      <c r="I27" s="546">
        <f>J27/G27</f>
        <v>1.2479</v>
      </c>
      <c r="J27" s="358">
        <f>J29+J30+J31</f>
        <v>13.34</v>
      </c>
      <c r="K27" s="358">
        <f t="shared" si="3"/>
        <v>0.06</v>
      </c>
      <c r="L27" s="358">
        <f>SUM(L29:L31)</f>
        <v>1.42</v>
      </c>
      <c r="M27" s="358">
        <f t="shared" si="4"/>
        <v>0.05</v>
      </c>
      <c r="N27" s="546">
        <f>O27/L27</f>
        <v>1.2464999999999999</v>
      </c>
      <c r="O27" s="358">
        <f>SUM(O29:O31)</f>
        <v>1.77</v>
      </c>
      <c r="P27" s="358">
        <f t="shared" si="5"/>
        <v>0.06</v>
      </c>
      <c r="Q27" s="358">
        <f>SUM(Q29:Q31)</f>
        <v>0.47</v>
      </c>
      <c r="R27" s="358">
        <f t="shared" si="6"/>
        <v>0.05</v>
      </c>
      <c r="S27" s="546">
        <f>T27/Q27</f>
        <v>1.234</v>
      </c>
      <c r="T27" s="358">
        <f>SUM(T29:T31)</f>
        <v>0.57999999999999996</v>
      </c>
      <c r="U27" s="544">
        <f t="shared" si="7"/>
        <v>0.06</v>
      </c>
      <c r="V27" s="1089"/>
      <c r="W27" s="453" t="s">
        <v>339</v>
      </c>
      <c r="X27" s="455">
        <f t="shared" si="11"/>
        <v>329.39380249999999</v>
      </c>
      <c r="Y27" s="455">
        <f t="shared" si="11"/>
        <v>43.709973300000001</v>
      </c>
      <c r="Z27" s="455">
        <f t="shared" si="11"/>
        <v>14.3412791</v>
      </c>
      <c r="AA27" s="454">
        <f t="shared" si="10"/>
        <v>387.4450549</v>
      </c>
      <c r="AB27" s="239"/>
      <c r="AC27" s="237"/>
      <c r="AD27" s="263"/>
    </row>
    <row r="28" spans="1:30" s="444" customFormat="1" ht="30.75" customHeight="1">
      <c r="A28" s="374" t="s">
        <v>59</v>
      </c>
      <c r="B28" s="329" t="s">
        <v>345</v>
      </c>
      <c r="C28" s="220">
        <f>G28+L28+Q28</f>
        <v>10.82</v>
      </c>
      <c r="D28" s="547">
        <f t="shared" si="0"/>
        <v>0.04</v>
      </c>
      <c r="E28" s="220">
        <f>J28+O28+T28</f>
        <v>13.93</v>
      </c>
      <c r="F28" s="548">
        <f t="shared" si="1"/>
        <v>0.06</v>
      </c>
      <c r="G28" s="220">
        <f>G29+G30</f>
        <v>9.1999999999999993</v>
      </c>
      <c r="H28" s="547">
        <f t="shared" si="2"/>
        <v>0.04</v>
      </c>
      <c r="I28" s="549">
        <f>$I$52</f>
        <v>1.2884</v>
      </c>
      <c r="J28" s="220">
        <f>J29+J30</f>
        <v>11.85</v>
      </c>
      <c r="K28" s="548">
        <f t="shared" si="3"/>
        <v>0.06</v>
      </c>
      <c r="L28" s="220">
        <f>L29+L30</f>
        <v>1.22</v>
      </c>
      <c r="M28" s="547">
        <f t="shared" si="4"/>
        <v>0.04</v>
      </c>
      <c r="N28" s="549">
        <f>$N$52</f>
        <v>1.2884</v>
      </c>
      <c r="O28" s="220">
        <f>O29+O30</f>
        <v>1.57</v>
      </c>
      <c r="P28" s="548">
        <f t="shared" si="5"/>
        <v>0.06</v>
      </c>
      <c r="Q28" s="220">
        <f>Q29+Q30</f>
        <v>0.4</v>
      </c>
      <c r="R28" s="547">
        <f t="shared" si="6"/>
        <v>0.04</v>
      </c>
      <c r="S28" s="549">
        <f>$S$52</f>
        <v>1.2884</v>
      </c>
      <c r="T28" s="220">
        <f>T29+T30</f>
        <v>0.51</v>
      </c>
      <c r="U28" s="550">
        <f t="shared" si="7"/>
        <v>0.06</v>
      </c>
      <c r="V28" s="238"/>
      <c r="W28" s="237"/>
      <c r="X28" s="238"/>
      <c r="Y28" s="237"/>
      <c r="Z28" s="239"/>
      <c r="AA28" s="237"/>
      <c r="AB28" s="239"/>
      <c r="AC28" s="237"/>
      <c r="AD28" s="263"/>
    </row>
    <row r="29" spans="1:30" s="444" customFormat="1" ht="20.100000000000001" customHeight="1">
      <c r="A29" s="328" t="s">
        <v>348</v>
      </c>
      <c r="B29" s="458" t="s">
        <v>53</v>
      </c>
      <c r="C29" s="220">
        <f t="shared" si="8"/>
        <v>7.89</v>
      </c>
      <c r="D29" s="547">
        <f t="shared" si="0"/>
        <v>0.03</v>
      </c>
      <c r="E29" s="220">
        <f t="shared" si="9"/>
        <v>11.42</v>
      </c>
      <c r="F29" s="548">
        <f t="shared" si="1"/>
        <v>0.05</v>
      </c>
      <c r="G29" s="220">
        <v>6.71</v>
      </c>
      <c r="H29" s="547">
        <f t="shared" si="2"/>
        <v>0.03</v>
      </c>
      <c r="I29" s="549">
        <f>$I$52</f>
        <v>1.2884</v>
      </c>
      <c r="J29" s="547">
        <f>X22</f>
        <v>9.7100000000000009</v>
      </c>
      <c r="K29" s="548">
        <f t="shared" si="3"/>
        <v>0.05</v>
      </c>
      <c r="L29" s="547">
        <v>0.89</v>
      </c>
      <c r="M29" s="547">
        <f t="shared" si="4"/>
        <v>0.03</v>
      </c>
      <c r="N29" s="549">
        <f>$N$52</f>
        <v>1.2884</v>
      </c>
      <c r="O29" s="547">
        <f>Y22</f>
        <v>1.29</v>
      </c>
      <c r="P29" s="548">
        <f t="shared" si="5"/>
        <v>0.05</v>
      </c>
      <c r="Q29" s="547">
        <v>0.28999999999999998</v>
      </c>
      <c r="R29" s="547">
        <f t="shared" si="6"/>
        <v>0.03</v>
      </c>
      <c r="S29" s="549">
        <f>$S$52</f>
        <v>1.2884</v>
      </c>
      <c r="T29" s="547">
        <f>Z22</f>
        <v>0.42</v>
      </c>
      <c r="U29" s="550">
        <f t="shared" si="7"/>
        <v>0.05</v>
      </c>
      <c r="V29" s="238"/>
      <c r="W29" s="237"/>
      <c r="X29" s="238"/>
      <c r="Y29" s="237"/>
      <c r="Z29" s="239"/>
      <c r="AA29" s="237"/>
      <c r="AB29" s="239"/>
      <c r="AC29" s="237"/>
      <c r="AD29" s="263"/>
    </row>
    <row r="30" spans="1:30" s="226" customFormat="1" ht="20.100000000000001" customHeight="1">
      <c r="A30" s="328" t="s">
        <v>349</v>
      </c>
      <c r="B30" s="458" t="s">
        <v>45</v>
      </c>
      <c r="C30" s="220">
        <f t="shared" si="8"/>
        <v>2.93</v>
      </c>
      <c r="D30" s="547">
        <f t="shared" si="0"/>
        <v>0.01</v>
      </c>
      <c r="E30" s="220">
        <f t="shared" si="9"/>
        <v>2.5099999999999998</v>
      </c>
      <c r="F30" s="548">
        <f t="shared" si="1"/>
        <v>0.01</v>
      </c>
      <c r="G30" s="220">
        <v>2.4900000000000002</v>
      </c>
      <c r="H30" s="547">
        <f t="shared" si="2"/>
        <v>0.01</v>
      </c>
      <c r="I30" s="549">
        <f>$I$52</f>
        <v>1.2884</v>
      </c>
      <c r="J30" s="547">
        <f>X23</f>
        <v>2.14</v>
      </c>
      <c r="K30" s="548">
        <f t="shared" si="3"/>
        <v>0.01</v>
      </c>
      <c r="L30" s="547">
        <v>0.33</v>
      </c>
      <c r="M30" s="547">
        <f t="shared" si="4"/>
        <v>0.01</v>
      </c>
      <c r="N30" s="549">
        <f>$N$52</f>
        <v>1.2884</v>
      </c>
      <c r="O30" s="547">
        <f>Y23</f>
        <v>0.28000000000000003</v>
      </c>
      <c r="P30" s="548">
        <f t="shared" si="5"/>
        <v>0.01</v>
      </c>
      <c r="Q30" s="547">
        <v>0.11</v>
      </c>
      <c r="R30" s="547">
        <f t="shared" si="6"/>
        <v>0.01</v>
      </c>
      <c r="S30" s="549">
        <f>$S$52</f>
        <v>1.2884</v>
      </c>
      <c r="T30" s="547">
        <f>Z23</f>
        <v>0.09</v>
      </c>
      <c r="U30" s="550">
        <f t="shared" si="7"/>
        <v>0.01</v>
      </c>
      <c r="V30" s="240"/>
      <c r="W30" s="236"/>
      <c r="X30" s="240"/>
      <c r="Y30" s="236"/>
      <c r="Z30" s="241"/>
      <c r="AA30" s="236"/>
      <c r="AB30" s="241"/>
      <c r="AC30" s="236"/>
      <c r="AD30" s="443"/>
    </row>
    <row r="31" spans="1:30" s="226" customFormat="1" ht="20.100000000000001" customHeight="1">
      <c r="A31" s="365" t="s">
        <v>61</v>
      </c>
      <c r="B31" s="329" t="s">
        <v>56</v>
      </c>
      <c r="C31" s="220">
        <f t="shared" si="8"/>
        <v>1.76</v>
      </c>
      <c r="D31" s="547">
        <f t="shared" si="0"/>
        <v>0.01</v>
      </c>
      <c r="E31" s="220">
        <f t="shared" si="9"/>
        <v>1.76</v>
      </c>
      <c r="F31" s="548">
        <f t="shared" si="1"/>
        <v>0.01</v>
      </c>
      <c r="G31" s="220">
        <v>1.49</v>
      </c>
      <c r="H31" s="547">
        <f t="shared" si="2"/>
        <v>0.01</v>
      </c>
      <c r="I31" s="549">
        <f>IF(G31=0,0,1)</f>
        <v>1</v>
      </c>
      <c r="J31" s="547">
        <f>G31*I31</f>
        <v>1.49</v>
      </c>
      <c r="K31" s="548">
        <f t="shared" si="3"/>
        <v>0.01</v>
      </c>
      <c r="L31" s="547">
        <v>0.2</v>
      </c>
      <c r="M31" s="547">
        <f t="shared" si="4"/>
        <v>0.01</v>
      </c>
      <c r="N31" s="549">
        <f>IF(L31=0,0,1)</f>
        <v>1</v>
      </c>
      <c r="O31" s="547">
        <f>L31*N31</f>
        <v>0.2</v>
      </c>
      <c r="P31" s="548">
        <f t="shared" si="5"/>
        <v>0.01</v>
      </c>
      <c r="Q31" s="547">
        <v>7.0000000000000007E-2</v>
      </c>
      <c r="R31" s="547">
        <f t="shared" si="6"/>
        <v>0.01</v>
      </c>
      <c r="S31" s="549">
        <f>IF(Q31=0,0,1)</f>
        <v>1</v>
      </c>
      <c r="T31" s="547">
        <f>Q31*S31</f>
        <v>7.0000000000000007E-2</v>
      </c>
      <c r="U31" s="550">
        <f t="shared" si="7"/>
        <v>0.01</v>
      </c>
      <c r="V31" s="240"/>
      <c r="W31" s="236"/>
      <c r="X31" s="240"/>
      <c r="Y31" s="236"/>
      <c r="Z31" s="241"/>
      <c r="AA31" s="236"/>
      <c r="AB31" s="241"/>
      <c r="AC31" s="236"/>
      <c r="AD31" s="443"/>
    </row>
    <row r="32" spans="1:30" s="444" customFormat="1" ht="20.100000000000001" hidden="1" customHeight="1">
      <c r="A32" s="543">
        <v>3</v>
      </c>
      <c r="B32" s="325" t="s">
        <v>202</v>
      </c>
      <c r="C32" s="218">
        <f t="shared" si="8"/>
        <v>0</v>
      </c>
      <c r="D32" s="214">
        <f t="shared" si="0"/>
        <v>0</v>
      </c>
      <c r="E32" s="218">
        <f t="shared" si="9"/>
        <v>0</v>
      </c>
      <c r="F32" s="358">
        <f t="shared" si="1"/>
        <v>0</v>
      </c>
      <c r="G32" s="218">
        <v>0</v>
      </c>
      <c r="H32" s="214">
        <f t="shared" si="2"/>
        <v>0</v>
      </c>
      <c r="I32" s="264">
        <f>IF(G32=0,0,1)</f>
        <v>0</v>
      </c>
      <c r="J32" s="214">
        <v>0</v>
      </c>
      <c r="K32" s="358">
        <f t="shared" si="3"/>
        <v>0</v>
      </c>
      <c r="L32" s="218">
        <v>0</v>
      </c>
      <c r="M32" s="214">
        <f t="shared" si="4"/>
        <v>0</v>
      </c>
      <c r="N32" s="264">
        <f>IF(L32=0,0,1)</f>
        <v>0</v>
      </c>
      <c r="O32" s="214">
        <v>0</v>
      </c>
      <c r="P32" s="358">
        <f t="shared" si="5"/>
        <v>0</v>
      </c>
      <c r="Q32" s="218">
        <v>0</v>
      </c>
      <c r="R32" s="214">
        <f t="shared" si="6"/>
        <v>0</v>
      </c>
      <c r="S32" s="264">
        <f>IF(Q32=0,0,1)</f>
        <v>0</v>
      </c>
      <c r="T32" s="214">
        <v>0</v>
      </c>
      <c r="U32" s="544">
        <f t="shared" si="7"/>
        <v>0</v>
      </c>
      <c r="V32" s="238"/>
      <c r="W32" s="237"/>
      <c r="X32" s="238"/>
      <c r="Y32" s="237"/>
      <c r="Z32" s="239"/>
      <c r="AA32" s="237"/>
      <c r="AB32" s="239"/>
      <c r="AC32" s="237"/>
      <c r="AD32" s="263"/>
    </row>
    <row r="33" spans="1:30" s="226" customFormat="1" ht="20.100000000000001" customHeight="1">
      <c r="A33" s="543">
        <v>3</v>
      </c>
      <c r="B33" s="325" t="s">
        <v>102</v>
      </c>
      <c r="C33" s="218">
        <f t="shared" si="8"/>
        <v>0</v>
      </c>
      <c r="D33" s="214">
        <f t="shared" si="0"/>
        <v>0</v>
      </c>
      <c r="E33" s="218">
        <f t="shared" si="9"/>
        <v>0</v>
      </c>
      <c r="F33" s="358">
        <f t="shared" si="1"/>
        <v>0</v>
      </c>
      <c r="G33" s="218">
        <v>0</v>
      </c>
      <c r="H33" s="214">
        <f t="shared" si="2"/>
        <v>0</v>
      </c>
      <c r="I33" s="264">
        <f>IF(G33=0,0,1)</f>
        <v>0</v>
      </c>
      <c r="J33" s="214">
        <f>G33*I33</f>
        <v>0</v>
      </c>
      <c r="K33" s="358">
        <f t="shared" si="3"/>
        <v>0</v>
      </c>
      <c r="L33" s="214">
        <v>0</v>
      </c>
      <c r="M33" s="214">
        <f t="shared" si="4"/>
        <v>0</v>
      </c>
      <c r="N33" s="264">
        <f>IF(L33=0,0,1)</f>
        <v>0</v>
      </c>
      <c r="O33" s="214">
        <f>L33*N33</f>
        <v>0</v>
      </c>
      <c r="P33" s="358">
        <f t="shared" si="5"/>
        <v>0</v>
      </c>
      <c r="Q33" s="214">
        <v>0</v>
      </c>
      <c r="R33" s="214">
        <f t="shared" si="6"/>
        <v>0</v>
      </c>
      <c r="S33" s="264">
        <f>IF(Q33=0,0,1)</f>
        <v>0</v>
      </c>
      <c r="T33" s="214">
        <f>Q33*S33</f>
        <v>0</v>
      </c>
      <c r="U33" s="544">
        <f t="shared" si="7"/>
        <v>0</v>
      </c>
      <c r="V33" s="240"/>
      <c r="W33" s="236"/>
      <c r="X33" s="240"/>
      <c r="Y33" s="236"/>
      <c r="Z33" s="241"/>
      <c r="AA33" s="236"/>
      <c r="AB33" s="241"/>
      <c r="AC33" s="236"/>
      <c r="AD33" s="443"/>
    </row>
    <row r="34" spans="1:30" s="226" customFormat="1" ht="20.100000000000001" customHeight="1">
      <c r="A34" s="543">
        <v>4</v>
      </c>
      <c r="B34" s="325" t="s">
        <v>65</v>
      </c>
      <c r="C34" s="218">
        <f t="shared" si="8"/>
        <v>0</v>
      </c>
      <c r="D34" s="214">
        <f t="shared" si="0"/>
        <v>0</v>
      </c>
      <c r="E34" s="218">
        <f t="shared" si="9"/>
        <v>0</v>
      </c>
      <c r="F34" s="358">
        <f t="shared" si="1"/>
        <v>0</v>
      </c>
      <c r="G34" s="218">
        <v>0</v>
      </c>
      <c r="H34" s="214">
        <f t="shared" si="2"/>
        <v>0</v>
      </c>
      <c r="I34" s="264">
        <f>IF(G34=0,0,1)</f>
        <v>0</v>
      </c>
      <c r="J34" s="214">
        <f>G34*I34</f>
        <v>0</v>
      </c>
      <c r="K34" s="358">
        <f t="shared" si="3"/>
        <v>0</v>
      </c>
      <c r="L34" s="214">
        <v>0</v>
      </c>
      <c r="M34" s="214">
        <f t="shared" si="4"/>
        <v>0</v>
      </c>
      <c r="N34" s="264">
        <f>IF(L34=0,0,1)</f>
        <v>0</v>
      </c>
      <c r="O34" s="214">
        <f>L34*N34</f>
        <v>0</v>
      </c>
      <c r="P34" s="358">
        <f t="shared" si="5"/>
        <v>0</v>
      </c>
      <c r="Q34" s="214">
        <v>0</v>
      </c>
      <c r="R34" s="214">
        <f t="shared" si="6"/>
        <v>0</v>
      </c>
      <c r="S34" s="264">
        <f>IF(Q34=0,0,1)</f>
        <v>0</v>
      </c>
      <c r="T34" s="214">
        <f>Q34*S34</f>
        <v>0</v>
      </c>
      <c r="U34" s="544">
        <f t="shared" si="7"/>
        <v>0</v>
      </c>
      <c r="V34" s="240"/>
      <c r="W34" s="236"/>
      <c r="X34" s="240"/>
      <c r="Y34" s="236"/>
      <c r="Z34" s="241"/>
      <c r="AA34" s="236"/>
      <c r="AB34" s="241"/>
      <c r="AC34" s="236"/>
      <c r="AD34" s="443"/>
    </row>
    <row r="35" spans="1:30" s="226" customFormat="1" ht="20.100000000000001" customHeight="1">
      <c r="A35" s="545">
        <v>5</v>
      </c>
      <c r="B35" s="331" t="s">
        <v>101</v>
      </c>
      <c r="C35" s="310">
        <f t="shared" si="8"/>
        <v>419.99</v>
      </c>
      <c r="D35" s="358">
        <f t="shared" si="0"/>
        <v>1.74</v>
      </c>
      <c r="E35" s="310">
        <f t="shared" si="9"/>
        <v>506.73</v>
      </c>
      <c r="F35" s="358">
        <f t="shared" si="1"/>
        <v>2.1</v>
      </c>
      <c r="G35" s="310">
        <f>G27+G13</f>
        <v>357.07</v>
      </c>
      <c r="H35" s="358">
        <f t="shared" si="2"/>
        <v>1.74</v>
      </c>
      <c r="I35" s="546">
        <f>J35/G35</f>
        <v>1.2064999999999999</v>
      </c>
      <c r="J35" s="358">
        <f>J27+J13</f>
        <v>430.81</v>
      </c>
      <c r="K35" s="358">
        <f t="shared" si="3"/>
        <v>2.1</v>
      </c>
      <c r="L35" s="358">
        <f>L27+L13</f>
        <v>47.37</v>
      </c>
      <c r="M35" s="358">
        <f t="shared" si="4"/>
        <v>1.74</v>
      </c>
      <c r="N35" s="546">
        <f>O35/L35</f>
        <v>1.2064999999999999</v>
      </c>
      <c r="O35" s="358">
        <f>O27+O13</f>
        <v>57.15</v>
      </c>
      <c r="P35" s="358">
        <f t="shared" si="5"/>
        <v>2.1</v>
      </c>
      <c r="Q35" s="358">
        <f>Q27+Q13</f>
        <v>15.55</v>
      </c>
      <c r="R35" s="358">
        <f t="shared" si="6"/>
        <v>1.74</v>
      </c>
      <c r="S35" s="546">
        <f>T35/Q35</f>
        <v>1.2071000000000001</v>
      </c>
      <c r="T35" s="358">
        <f>T27+T13</f>
        <v>18.77</v>
      </c>
      <c r="U35" s="544">
        <f t="shared" si="7"/>
        <v>2.1</v>
      </c>
      <c r="V35" s="240"/>
      <c r="W35" s="236"/>
      <c r="X35" s="240"/>
      <c r="Y35" s="236"/>
      <c r="Z35" s="241"/>
      <c r="AA35" s="236"/>
      <c r="AB35" s="241"/>
      <c r="AC35" s="236"/>
      <c r="AD35" s="443"/>
    </row>
    <row r="36" spans="1:30" s="226" customFormat="1" ht="20.100000000000001" customHeight="1">
      <c r="A36" s="545">
        <v>6</v>
      </c>
      <c r="B36" s="331" t="s">
        <v>373</v>
      </c>
      <c r="C36" s="310"/>
      <c r="D36" s="358"/>
      <c r="E36" s="310">
        <f t="shared" si="9"/>
        <v>0</v>
      </c>
      <c r="F36" s="358">
        <f t="shared" si="1"/>
        <v>0</v>
      </c>
      <c r="G36" s="310"/>
      <c r="H36" s="358"/>
      <c r="I36" s="546"/>
      <c r="J36" s="358">
        <v>0</v>
      </c>
      <c r="K36" s="358">
        <f t="shared" si="3"/>
        <v>0</v>
      </c>
      <c r="L36" s="358"/>
      <c r="M36" s="358"/>
      <c r="N36" s="546"/>
      <c r="O36" s="358">
        <v>0</v>
      </c>
      <c r="P36" s="358">
        <f t="shared" si="5"/>
        <v>0</v>
      </c>
      <c r="Q36" s="358"/>
      <c r="R36" s="358"/>
      <c r="S36" s="546"/>
      <c r="T36" s="358">
        <v>0</v>
      </c>
      <c r="U36" s="544">
        <f t="shared" si="7"/>
        <v>0</v>
      </c>
      <c r="V36" s="240"/>
      <c r="W36" s="236"/>
      <c r="X36" s="240"/>
      <c r="Y36" s="236"/>
      <c r="Z36" s="241"/>
      <c r="AA36" s="236"/>
      <c r="AB36" s="241"/>
      <c r="AC36" s="236"/>
      <c r="AD36" s="443"/>
    </row>
    <row r="37" spans="1:30" s="226" customFormat="1" ht="20.100000000000001" customHeight="1">
      <c r="A37" s="545">
        <v>7</v>
      </c>
      <c r="B37" s="331" t="s">
        <v>147</v>
      </c>
      <c r="C37" s="310">
        <f t="shared" si="8"/>
        <v>3.77</v>
      </c>
      <c r="D37" s="358">
        <f t="shared" si="0"/>
        <v>0.02</v>
      </c>
      <c r="E37" s="310">
        <f t="shared" si="9"/>
        <v>0</v>
      </c>
      <c r="F37" s="358">
        <f t="shared" si="1"/>
        <v>0</v>
      </c>
      <c r="G37" s="310">
        <f>SUM(G38:G42)</f>
        <v>0</v>
      </c>
      <c r="H37" s="358">
        <f t="shared" si="2"/>
        <v>0</v>
      </c>
      <c r="I37" s="546">
        <f t="shared" ref="I37:I42" si="12">IF(G37=0,0,1)</f>
        <v>0</v>
      </c>
      <c r="J37" s="358">
        <f>SUM(J38:J42)</f>
        <v>0</v>
      </c>
      <c r="K37" s="358">
        <f t="shared" si="3"/>
        <v>0</v>
      </c>
      <c r="L37" s="358">
        <f>SUM(L38:L42)</f>
        <v>2.84</v>
      </c>
      <c r="M37" s="358">
        <f t="shared" si="4"/>
        <v>0.1</v>
      </c>
      <c r="N37" s="546">
        <f>O37/L37</f>
        <v>0</v>
      </c>
      <c r="O37" s="358">
        <f>SUM(O38:O42)</f>
        <v>0</v>
      </c>
      <c r="P37" s="358">
        <f t="shared" si="5"/>
        <v>0</v>
      </c>
      <c r="Q37" s="358">
        <f>SUM(Q38:Q42)</f>
        <v>0.93</v>
      </c>
      <c r="R37" s="358">
        <f t="shared" si="6"/>
        <v>0.1</v>
      </c>
      <c r="S37" s="546">
        <f>T37/Q37</f>
        <v>0</v>
      </c>
      <c r="T37" s="358">
        <f>SUM(T38:T42)</f>
        <v>0</v>
      </c>
      <c r="U37" s="544">
        <f t="shared" si="7"/>
        <v>0</v>
      </c>
      <c r="V37" s="240"/>
      <c r="W37" s="236"/>
      <c r="X37" s="240"/>
      <c r="Y37" s="236"/>
      <c r="Z37" s="241"/>
      <c r="AA37" s="236"/>
      <c r="AB37" s="241"/>
      <c r="AC37" s="236"/>
      <c r="AD37" s="443"/>
    </row>
    <row r="38" spans="1:30" s="444" customFormat="1" ht="20.100000000000001" customHeight="1">
      <c r="A38" s="365" t="s">
        <v>66</v>
      </c>
      <c r="B38" s="329" t="s">
        <v>67</v>
      </c>
      <c r="C38" s="220">
        <f t="shared" si="8"/>
        <v>0</v>
      </c>
      <c r="D38" s="220">
        <f t="shared" si="0"/>
        <v>0</v>
      </c>
      <c r="E38" s="220">
        <f t="shared" si="9"/>
        <v>0</v>
      </c>
      <c r="F38" s="548">
        <f t="shared" si="1"/>
        <v>0</v>
      </c>
      <c r="G38" s="220">
        <v>0</v>
      </c>
      <c r="H38" s="547">
        <f t="shared" si="2"/>
        <v>0</v>
      </c>
      <c r="I38" s="549">
        <f t="shared" si="12"/>
        <v>0</v>
      </c>
      <c r="J38" s="214">
        <v>0</v>
      </c>
      <c r="K38" s="548">
        <f t="shared" si="3"/>
        <v>0</v>
      </c>
      <c r="L38" s="547">
        <v>0</v>
      </c>
      <c r="M38" s="547">
        <f t="shared" si="4"/>
        <v>0</v>
      </c>
      <c r="N38" s="549">
        <f>IF(L38=0,0,1)</f>
        <v>0</v>
      </c>
      <c r="O38" s="547">
        <v>0</v>
      </c>
      <c r="P38" s="548">
        <f t="shared" si="5"/>
        <v>0</v>
      </c>
      <c r="Q38" s="547">
        <v>0</v>
      </c>
      <c r="R38" s="547">
        <f t="shared" si="6"/>
        <v>0</v>
      </c>
      <c r="S38" s="549">
        <f>IF(Q38=0,0,1)</f>
        <v>0</v>
      </c>
      <c r="T38" s="547">
        <v>0</v>
      </c>
      <c r="U38" s="550">
        <f t="shared" si="7"/>
        <v>0</v>
      </c>
      <c r="V38" s="238"/>
      <c r="W38" s="242"/>
      <c r="X38" s="238"/>
      <c r="Y38" s="237"/>
      <c r="Z38" s="239"/>
      <c r="AA38" s="237"/>
      <c r="AB38" s="239"/>
      <c r="AC38" s="237"/>
      <c r="AD38" s="263"/>
    </row>
    <row r="39" spans="1:30" s="444" customFormat="1" ht="20.100000000000001" customHeight="1">
      <c r="A39" s="365" t="s">
        <v>68</v>
      </c>
      <c r="B39" s="329" t="s">
        <v>69</v>
      </c>
      <c r="C39" s="220">
        <f t="shared" si="8"/>
        <v>0</v>
      </c>
      <c r="D39" s="220">
        <f t="shared" si="0"/>
        <v>0</v>
      </c>
      <c r="E39" s="220">
        <f t="shared" si="9"/>
        <v>0</v>
      </c>
      <c r="F39" s="548">
        <f t="shared" si="1"/>
        <v>0</v>
      </c>
      <c r="G39" s="220">
        <v>0</v>
      </c>
      <c r="H39" s="547">
        <f t="shared" si="2"/>
        <v>0</v>
      </c>
      <c r="I39" s="549">
        <f t="shared" si="12"/>
        <v>0</v>
      </c>
      <c r="J39" s="214">
        <v>0</v>
      </c>
      <c r="K39" s="548">
        <f t="shared" si="3"/>
        <v>0</v>
      </c>
      <c r="L39" s="547">
        <v>0</v>
      </c>
      <c r="M39" s="547">
        <f t="shared" si="4"/>
        <v>0</v>
      </c>
      <c r="N39" s="549">
        <f>IF(L39=0,0,1)</f>
        <v>0</v>
      </c>
      <c r="O39" s="547">
        <v>0</v>
      </c>
      <c r="P39" s="548">
        <f t="shared" si="5"/>
        <v>0</v>
      </c>
      <c r="Q39" s="547">
        <v>0</v>
      </c>
      <c r="R39" s="547">
        <f t="shared" si="6"/>
        <v>0</v>
      </c>
      <c r="S39" s="549">
        <f>IF(Q39=0,0,1)</f>
        <v>0</v>
      </c>
      <c r="T39" s="547">
        <v>0</v>
      </c>
      <c r="U39" s="550">
        <f t="shared" si="7"/>
        <v>0</v>
      </c>
      <c r="V39" s="238"/>
      <c r="W39" s="242"/>
      <c r="X39" s="238"/>
      <c r="Y39" s="237"/>
      <c r="Z39" s="239"/>
      <c r="AA39" s="237"/>
      <c r="AB39" s="239"/>
      <c r="AC39" s="237"/>
      <c r="AD39" s="263"/>
    </row>
    <row r="40" spans="1:30" s="444" customFormat="1" ht="20.100000000000001" customHeight="1">
      <c r="A40" s="365" t="s">
        <v>68</v>
      </c>
      <c r="B40" s="329" t="str">
        <f>[2]Додаток3!B43</f>
        <v xml:space="preserve">резервний фонд (капітал) та дивіденди </v>
      </c>
      <c r="C40" s="220">
        <f t="shared" si="8"/>
        <v>0</v>
      </c>
      <c r="D40" s="220">
        <f t="shared" si="0"/>
        <v>0</v>
      </c>
      <c r="E40" s="220">
        <f t="shared" si="9"/>
        <v>0</v>
      </c>
      <c r="F40" s="548">
        <f t="shared" si="1"/>
        <v>0</v>
      </c>
      <c r="G40" s="220">
        <v>0</v>
      </c>
      <c r="H40" s="547">
        <f t="shared" si="2"/>
        <v>0</v>
      </c>
      <c r="I40" s="549">
        <f t="shared" si="12"/>
        <v>0</v>
      </c>
      <c r="J40" s="214">
        <v>0</v>
      </c>
      <c r="K40" s="548">
        <f t="shared" si="3"/>
        <v>0</v>
      </c>
      <c r="L40" s="547">
        <v>0</v>
      </c>
      <c r="M40" s="547">
        <f t="shared" si="4"/>
        <v>0</v>
      </c>
      <c r="N40" s="549">
        <f>IF(L40=0,0,1)</f>
        <v>0</v>
      </c>
      <c r="O40" s="547">
        <v>0</v>
      </c>
      <c r="P40" s="548">
        <f t="shared" si="5"/>
        <v>0</v>
      </c>
      <c r="Q40" s="547">
        <v>0</v>
      </c>
      <c r="R40" s="547">
        <f t="shared" si="6"/>
        <v>0</v>
      </c>
      <c r="S40" s="549">
        <f>IF(Q40=0,0,1)</f>
        <v>0</v>
      </c>
      <c r="T40" s="547">
        <v>0</v>
      </c>
      <c r="U40" s="550">
        <f t="shared" si="7"/>
        <v>0</v>
      </c>
      <c r="V40" s="238"/>
      <c r="W40" s="242"/>
      <c r="X40" s="238"/>
      <c r="Y40" s="237"/>
      <c r="Z40" s="239"/>
      <c r="AA40" s="237"/>
      <c r="AB40" s="239"/>
      <c r="AC40" s="237"/>
      <c r="AD40" s="263"/>
    </row>
    <row r="41" spans="1:30" s="444" customFormat="1" ht="20.100000000000001" customHeight="1">
      <c r="A41" s="365" t="s">
        <v>70</v>
      </c>
      <c r="B41" s="329" t="s">
        <v>72</v>
      </c>
      <c r="C41" s="220">
        <f t="shared" si="8"/>
        <v>3.77</v>
      </c>
      <c r="D41" s="547">
        <f t="shared" si="0"/>
        <v>0.02</v>
      </c>
      <c r="E41" s="220">
        <f t="shared" si="9"/>
        <v>0</v>
      </c>
      <c r="F41" s="548">
        <f t="shared" si="1"/>
        <v>0</v>
      </c>
      <c r="G41" s="220">
        <v>0</v>
      </c>
      <c r="H41" s="547">
        <f t="shared" si="2"/>
        <v>0</v>
      </c>
      <c r="I41" s="549">
        <f t="shared" si="12"/>
        <v>0</v>
      </c>
      <c r="J41" s="214">
        <v>0</v>
      </c>
      <c r="K41" s="548">
        <f t="shared" si="3"/>
        <v>0</v>
      </c>
      <c r="L41" s="547">
        <v>2.84</v>
      </c>
      <c r="M41" s="547">
        <f t="shared" si="4"/>
        <v>0.1</v>
      </c>
      <c r="N41" s="549">
        <f>IF(L41=0,0,1)</f>
        <v>1</v>
      </c>
      <c r="O41" s="547">
        <v>0</v>
      </c>
      <c r="P41" s="548">
        <f t="shared" si="5"/>
        <v>0</v>
      </c>
      <c r="Q41" s="547">
        <v>0.93</v>
      </c>
      <c r="R41" s="547">
        <f t="shared" si="6"/>
        <v>0.1</v>
      </c>
      <c r="S41" s="549">
        <f>IF(Q41=0,0,1)</f>
        <v>1</v>
      </c>
      <c r="T41" s="547">
        <v>0</v>
      </c>
      <c r="U41" s="550">
        <f t="shared" si="7"/>
        <v>0</v>
      </c>
      <c r="V41" s="238"/>
      <c r="W41" s="237"/>
      <c r="X41" s="238"/>
      <c r="Y41" s="237"/>
      <c r="Z41" s="239"/>
      <c r="AA41" s="237"/>
      <c r="AB41" s="239"/>
      <c r="AC41" s="237"/>
      <c r="AD41" s="263"/>
    </row>
    <row r="42" spans="1:30" s="444" customFormat="1" ht="20.100000000000001" customHeight="1">
      <c r="A42" s="365" t="s">
        <v>71</v>
      </c>
      <c r="B42" s="329" t="s">
        <v>73</v>
      </c>
      <c r="C42" s="220">
        <f t="shared" si="8"/>
        <v>0</v>
      </c>
      <c r="D42" s="547">
        <f t="shared" si="0"/>
        <v>0</v>
      </c>
      <c r="E42" s="220">
        <f t="shared" si="9"/>
        <v>0</v>
      </c>
      <c r="F42" s="548">
        <f t="shared" si="1"/>
        <v>0</v>
      </c>
      <c r="G42" s="220">
        <v>0</v>
      </c>
      <c r="H42" s="547">
        <f t="shared" si="2"/>
        <v>0</v>
      </c>
      <c r="I42" s="549">
        <f t="shared" si="12"/>
        <v>0</v>
      </c>
      <c r="J42" s="214">
        <v>0</v>
      </c>
      <c r="K42" s="548">
        <f t="shared" si="3"/>
        <v>0</v>
      </c>
      <c r="L42" s="547">
        <v>0</v>
      </c>
      <c r="M42" s="547">
        <f t="shared" si="4"/>
        <v>0</v>
      </c>
      <c r="N42" s="549">
        <f>IF(L42=0,0,1)</f>
        <v>0</v>
      </c>
      <c r="O42" s="547">
        <v>0</v>
      </c>
      <c r="P42" s="548">
        <f t="shared" si="5"/>
        <v>0</v>
      </c>
      <c r="Q42" s="547">
        <v>0</v>
      </c>
      <c r="R42" s="547">
        <f t="shared" si="6"/>
        <v>0</v>
      </c>
      <c r="S42" s="549">
        <f>IF(Q42=0,0,1)</f>
        <v>0</v>
      </c>
      <c r="T42" s="547">
        <v>0</v>
      </c>
      <c r="U42" s="550">
        <f t="shared" si="7"/>
        <v>0</v>
      </c>
      <c r="V42" s="238"/>
      <c r="W42" s="237"/>
      <c r="X42" s="238"/>
      <c r="Y42" s="237"/>
      <c r="Z42" s="239"/>
      <c r="AA42" s="237"/>
      <c r="AB42" s="239"/>
      <c r="AC42" s="237"/>
      <c r="AD42" s="263"/>
    </row>
    <row r="43" spans="1:30" s="226" customFormat="1" ht="36" customHeight="1">
      <c r="A43" s="545">
        <v>8</v>
      </c>
      <c r="B43" s="331" t="s">
        <v>91</v>
      </c>
      <c r="C43" s="310">
        <f t="shared" si="8"/>
        <v>423.76</v>
      </c>
      <c r="D43" s="358">
        <f t="shared" si="0"/>
        <v>1.75</v>
      </c>
      <c r="E43" s="310">
        <f t="shared" si="9"/>
        <v>506.73</v>
      </c>
      <c r="F43" s="358">
        <f t="shared" si="1"/>
        <v>2.1</v>
      </c>
      <c r="G43" s="310">
        <f>G37+G35</f>
        <v>357.07</v>
      </c>
      <c r="H43" s="358">
        <f>ROUND(G43/$G$45*1000,2)</f>
        <v>1.74</v>
      </c>
      <c r="I43" s="546">
        <f>J43/G43</f>
        <v>1.2064999999999999</v>
      </c>
      <c r="J43" s="358">
        <f>J35+J36+J37</f>
        <v>430.81</v>
      </c>
      <c r="K43" s="358">
        <f>ROUND(J43/$J$45*1000,2)</f>
        <v>2.1</v>
      </c>
      <c r="L43" s="358">
        <f>L37+L35</f>
        <v>50.21</v>
      </c>
      <c r="M43" s="358">
        <f>ROUND(L43/$L$45*1000,2)</f>
        <v>1.84</v>
      </c>
      <c r="N43" s="546">
        <f>O43/L43</f>
        <v>1.1382000000000001</v>
      </c>
      <c r="O43" s="358">
        <f>O35+O36+O37</f>
        <v>57.15</v>
      </c>
      <c r="P43" s="358">
        <f t="shared" si="5"/>
        <v>2.1</v>
      </c>
      <c r="Q43" s="358">
        <f>Q37+Q35</f>
        <v>16.48</v>
      </c>
      <c r="R43" s="358">
        <f>ROUND(Q43/$Q$45*1000,2)</f>
        <v>1.84</v>
      </c>
      <c r="S43" s="546">
        <f>T43/Q43</f>
        <v>1.139</v>
      </c>
      <c r="T43" s="358">
        <f>T35+T36+T37</f>
        <v>18.77</v>
      </c>
      <c r="U43" s="544">
        <f t="shared" si="7"/>
        <v>2.1</v>
      </c>
      <c r="V43" s="240"/>
      <c r="W43" s="236"/>
      <c r="X43" s="240"/>
      <c r="Y43" s="236"/>
      <c r="Z43" s="241"/>
      <c r="AA43" s="236"/>
      <c r="AB43" s="241"/>
      <c r="AC43" s="236"/>
      <c r="AD43" s="443"/>
    </row>
    <row r="44" spans="1:30" s="226" customFormat="1" ht="20.100000000000001" customHeight="1">
      <c r="A44" s="543">
        <v>9</v>
      </c>
      <c r="B44" s="325" t="s">
        <v>117</v>
      </c>
      <c r="C44" s="218"/>
      <c r="D44" s="218">
        <f>D43</f>
        <v>1.75</v>
      </c>
      <c r="E44" s="218"/>
      <c r="F44" s="358">
        <f>F43</f>
        <v>2.1</v>
      </c>
      <c r="G44" s="218"/>
      <c r="H44" s="218">
        <f>H43</f>
        <v>1.74</v>
      </c>
      <c r="I44" s="264">
        <f>K44/H44</f>
        <v>1.2069000000000001</v>
      </c>
      <c r="J44" s="214"/>
      <c r="K44" s="358">
        <f>K43</f>
        <v>2.1</v>
      </c>
      <c r="L44" s="218"/>
      <c r="M44" s="218">
        <f>M43</f>
        <v>1.84</v>
      </c>
      <c r="N44" s="219">
        <f>P44/M44</f>
        <v>1.1413</v>
      </c>
      <c r="O44" s="218"/>
      <c r="P44" s="358">
        <f>P43</f>
        <v>2.1</v>
      </c>
      <c r="Q44" s="218"/>
      <c r="R44" s="218">
        <f>R43</f>
        <v>1.84</v>
      </c>
      <c r="S44" s="219">
        <f>U44/R44</f>
        <v>1.1413</v>
      </c>
      <c r="T44" s="218"/>
      <c r="U44" s="551">
        <f>U43</f>
        <v>2.1</v>
      </c>
      <c r="V44" s="243"/>
      <c r="W44" s="243"/>
      <c r="X44" s="243"/>
      <c r="Y44" s="243"/>
      <c r="Z44" s="243"/>
      <c r="AA44" s="243"/>
      <c r="AB44" s="243"/>
      <c r="AC44" s="243"/>
    </row>
    <row r="45" spans="1:30" s="226" customFormat="1" ht="38.25" customHeight="1">
      <c r="A45" s="543">
        <v>10</v>
      </c>
      <c r="B45" s="325" t="s">
        <v>132</v>
      </c>
      <c r="C45" s="552">
        <f>G45+L45+Q45</f>
        <v>241491.87</v>
      </c>
      <c r="D45" s="218"/>
      <c r="E45" s="552">
        <f>J45+O45+T45</f>
        <v>241491.87</v>
      </c>
      <c r="F45" s="310"/>
      <c r="G45" s="552">
        <f>'[2]Додаток2 скор'!H57</f>
        <v>205308.92</v>
      </c>
      <c r="H45" s="218"/>
      <c r="I45" s="219"/>
      <c r="J45" s="552">
        <f>G45</f>
        <v>205308.92</v>
      </c>
      <c r="K45" s="310"/>
      <c r="L45" s="218">
        <f>'[2]Додаток2 скор'!M57</f>
        <v>27244.13</v>
      </c>
      <c r="M45" s="214"/>
      <c r="N45" s="264"/>
      <c r="O45" s="214">
        <f>L45</f>
        <v>27244.13</v>
      </c>
      <c r="P45" s="358"/>
      <c r="Q45" s="218">
        <f>'[2]Додаток2 скор'!R57</f>
        <v>8938.82</v>
      </c>
      <c r="R45" s="553"/>
      <c r="S45" s="264"/>
      <c r="T45" s="214">
        <f>Q45</f>
        <v>8938.82</v>
      </c>
      <c r="U45" s="544"/>
    </row>
    <row r="46" spans="1:30" s="247" customFormat="1" ht="20.100000000000001" hidden="1" customHeight="1">
      <c r="A46" s="366" t="s">
        <v>81</v>
      </c>
      <c r="B46" s="325" t="s">
        <v>75</v>
      </c>
      <c r="C46" s="554"/>
      <c r="D46" s="554"/>
      <c r="E46" s="554"/>
      <c r="F46" s="555"/>
      <c r="G46" s="556"/>
      <c r="H46" s="556"/>
      <c r="I46" s="557"/>
      <c r="J46" s="556"/>
      <c r="K46" s="558"/>
      <c r="L46" s="556"/>
      <c r="M46" s="556"/>
      <c r="N46" s="557"/>
      <c r="O46" s="556"/>
      <c r="P46" s="558"/>
      <c r="Q46" s="556"/>
      <c r="R46" s="265"/>
      <c r="S46" s="557"/>
      <c r="T46" s="266"/>
      <c r="U46" s="440"/>
    </row>
    <row r="47" spans="1:30" s="247" customFormat="1" ht="20.100000000000001" hidden="1" customHeight="1">
      <c r="A47" s="366" t="s">
        <v>81</v>
      </c>
      <c r="B47" s="325" t="s">
        <v>122</v>
      </c>
      <c r="C47" s="554"/>
      <c r="D47" s="554"/>
      <c r="E47" s="554"/>
      <c r="F47" s="555"/>
      <c r="G47" s="556"/>
      <c r="H47" s="556"/>
      <c r="I47" s="557"/>
      <c r="J47" s="556"/>
      <c r="K47" s="558"/>
      <c r="L47" s="559"/>
      <c r="M47" s="556"/>
      <c r="N47" s="557"/>
      <c r="O47" s="556"/>
      <c r="P47" s="558"/>
      <c r="Q47" s="556"/>
      <c r="R47" s="266"/>
      <c r="S47" s="557"/>
      <c r="T47" s="266"/>
      <c r="U47" s="440"/>
    </row>
    <row r="48" spans="1:30" s="247" customFormat="1" ht="20.100000000000001" hidden="1" customHeight="1">
      <c r="A48" s="366" t="s">
        <v>82</v>
      </c>
      <c r="B48" s="325" t="s">
        <v>123</v>
      </c>
      <c r="C48" s="554"/>
      <c r="D48" s="554"/>
      <c r="E48" s="554"/>
      <c r="F48" s="555"/>
      <c r="G48" s="556"/>
      <c r="H48" s="556"/>
      <c r="I48" s="557"/>
      <c r="J48" s="556"/>
      <c r="K48" s="558"/>
      <c r="L48" s="556"/>
      <c r="M48" s="556"/>
      <c r="N48" s="557"/>
      <c r="O48" s="556"/>
      <c r="P48" s="558"/>
      <c r="Q48" s="559"/>
      <c r="R48" s="266"/>
      <c r="S48" s="557"/>
      <c r="T48" s="266"/>
      <c r="U48" s="440"/>
    </row>
    <row r="49" spans="1:30" s="247" customFormat="1" ht="20.100000000000001" hidden="1" customHeight="1">
      <c r="A49" s="560" t="s">
        <v>78</v>
      </c>
      <c r="B49" s="367"/>
      <c r="C49" s="561"/>
      <c r="D49" s="561"/>
      <c r="E49" s="561"/>
      <c r="F49" s="562"/>
      <c r="G49" s="561"/>
      <c r="H49" s="561"/>
      <c r="I49" s="563"/>
      <c r="J49" s="561"/>
      <c r="K49" s="562"/>
      <c r="L49" s="561"/>
      <c r="M49" s="561"/>
      <c r="N49" s="563"/>
      <c r="O49" s="561"/>
      <c r="P49" s="562"/>
      <c r="Q49" s="561"/>
      <c r="R49" s="564"/>
      <c r="S49" s="565"/>
      <c r="T49" s="566"/>
      <c r="U49" s="567"/>
    </row>
    <row r="50" spans="1:30" s="244" customFormat="1" ht="20.100000000000001" hidden="1" customHeight="1">
      <c r="A50" s="560"/>
      <c r="B50" s="367" t="s">
        <v>98</v>
      </c>
      <c r="C50" s="561"/>
      <c r="D50" s="561"/>
      <c r="E50" s="561"/>
      <c r="F50" s="562"/>
      <c r="G50" s="561"/>
      <c r="H50" s="561"/>
      <c r="I50" s="563"/>
      <c r="J50" s="561"/>
      <c r="K50" s="562"/>
      <c r="L50" s="561"/>
      <c r="M50" s="561"/>
      <c r="N50" s="563"/>
      <c r="O50" s="561"/>
      <c r="P50" s="562"/>
      <c r="Q50" s="561" t="s">
        <v>99</v>
      </c>
      <c r="R50" s="561"/>
      <c r="S50" s="267"/>
      <c r="T50" s="211"/>
      <c r="U50" s="568"/>
    </row>
    <row r="51" spans="1:30" s="247" customFormat="1" ht="20.100000000000001" customHeight="1">
      <c r="A51" s="569">
        <v>11</v>
      </c>
      <c r="B51" s="368" t="s">
        <v>204</v>
      </c>
      <c r="C51" s="570">
        <f>C37/C35*100</f>
        <v>0.9</v>
      </c>
      <c r="D51" s="570">
        <f t="shared" ref="D51:U51" si="13">D37/D35*100</f>
        <v>1.1499999999999999</v>
      </c>
      <c r="E51" s="570">
        <f>E37/E35*100</f>
        <v>0</v>
      </c>
      <c r="F51" s="571">
        <f t="shared" si="13"/>
        <v>0</v>
      </c>
      <c r="G51" s="570">
        <f t="shared" si="13"/>
        <v>0</v>
      </c>
      <c r="H51" s="570">
        <f t="shared" si="13"/>
        <v>0</v>
      </c>
      <c r="I51" s="572"/>
      <c r="J51" s="570">
        <f t="shared" si="13"/>
        <v>0</v>
      </c>
      <c r="K51" s="571">
        <f t="shared" si="13"/>
        <v>0</v>
      </c>
      <c r="L51" s="570">
        <f t="shared" si="13"/>
        <v>6</v>
      </c>
      <c r="M51" s="570">
        <f t="shared" si="13"/>
        <v>5.75</v>
      </c>
      <c r="N51" s="572"/>
      <c r="O51" s="570">
        <f t="shared" si="13"/>
        <v>0</v>
      </c>
      <c r="P51" s="571">
        <f t="shared" si="13"/>
        <v>0</v>
      </c>
      <c r="Q51" s="570">
        <f t="shared" si="13"/>
        <v>5.98</v>
      </c>
      <c r="R51" s="573">
        <f t="shared" si="13"/>
        <v>5.75</v>
      </c>
      <c r="S51" s="572"/>
      <c r="T51" s="570">
        <f t="shared" si="13"/>
        <v>0</v>
      </c>
      <c r="U51" s="574">
        <f t="shared" si="13"/>
        <v>0</v>
      </c>
    </row>
    <row r="52" spans="1:30" ht="20.100000000000001" customHeight="1">
      <c r="A52" s="575">
        <v>12</v>
      </c>
      <c r="B52" s="340" t="s">
        <v>265</v>
      </c>
      <c r="C52" s="268"/>
      <c r="D52" s="268"/>
      <c r="E52" s="268"/>
      <c r="F52" s="363"/>
      <c r="G52" s="268"/>
      <c r="H52" s="576">
        <f>'Додаток3 скор'!H61</f>
        <v>3386</v>
      </c>
      <c r="I52" s="577">
        <f>K52/H52</f>
        <v>1.2884</v>
      </c>
      <c r="J52" s="576"/>
      <c r="K52" s="578">
        <f>'Додаток3 скор'!K61</f>
        <v>4362.6499999999996</v>
      </c>
      <c r="L52" s="576"/>
      <c r="M52" s="576">
        <f>'Додаток3 скор'!M61</f>
        <v>3386</v>
      </c>
      <c r="N52" s="577">
        <f>P52/M52</f>
        <v>1.2884</v>
      </c>
      <c r="O52" s="576"/>
      <c r="P52" s="578">
        <f>'Додаток3 скор'!P61</f>
        <v>4362.6499999999996</v>
      </c>
      <c r="Q52" s="576"/>
      <c r="R52" s="576">
        <f>'Додаток3 скор'!R61</f>
        <v>3386</v>
      </c>
      <c r="S52" s="577">
        <f>U52/R52</f>
        <v>1.2884</v>
      </c>
      <c r="T52" s="576"/>
      <c r="U52" s="579">
        <f>'Додаток3 скор'!U61</f>
        <v>4362.6499999999996</v>
      </c>
    </row>
    <row r="53" spans="1:30" ht="24.75" hidden="1" customHeight="1">
      <c r="A53" s="538"/>
      <c r="B53" s="2"/>
      <c r="C53" s="2"/>
      <c r="D53" s="2"/>
      <c r="E53" s="2"/>
      <c r="F53" s="2"/>
      <c r="G53" s="2"/>
      <c r="H53" s="2"/>
      <c r="I53" s="542"/>
      <c r="J53" s="2"/>
      <c r="K53" s="2"/>
      <c r="L53" s="2"/>
      <c r="M53" s="2"/>
      <c r="N53" s="2"/>
      <c r="O53" s="2"/>
      <c r="P53" s="2"/>
      <c r="Q53" s="2"/>
    </row>
    <row r="54" spans="1:30" ht="24.75" customHeight="1">
      <c r="A54" s="538"/>
      <c r="B54" s="2"/>
      <c r="C54" s="2"/>
      <c r="D54" s="2"/>
      <c r="E54" s="2"/>
      <c r="F54" s="2"/>
      <c r="G54" s="2"/>
      <c r="H54" s="2"/>
      <c r="I54" s="542"/>
      <c r="J54" s="2"/>
      <c r="K54" s="2"/>
      <c r="L54" s="2"/>
      <c r="M54" s="2"/>
      <c r="N54" s="2"/>
      <c r="O54" s="2"/>
      <c r="P54" s="2"/>
      <c r="Q54" s="2"/>
    </row>
    <row r="55" spans="1:30" ht="42.75" customHeight="1">
      <c r="A55" s="538"/>
      <c r="B55" s="279" t="s">
        <v>270</v>
      </c>
      <c r="C55" s="280"/>
      <c r="D55" s="280"/>
      <c r="E55" s="280"/>
      <c r="F55" s="280"/>
      <c r="G55" s="1146" t="s">
        <v>269</v>
      </c>
      <c r="H55" s="1146"/>
      <c r="I55" s="1146"/>
      <c r="J55" s="1146"/>
      <c r="K55" s="1146"/>
      <c r="L55" s="1146"/>
      <c r="M55" s="280"/>
      <c r="N55" s="280"/>
      <c r="O55" s="280"/>
      <c r="P55" s="280"/>
      <c r="Q55" s="1146" t="s">
        <v>266</v>
      </c>
      <c r="R55" s="1146"/>
      <c r="S55" s="1146"/>
      <c r="T55" s="1146"/>
      <c r="U55" s="1146"/>
    </row>
    <row r="56" spans="1:30" s="245" customFormat="1" ht="16.5" customHeight="1">
      <c r="A56" s="540"/>
      <c r="B56" s="277" t="s">
        <v>229</v>
      </c>
      <c r="C56" s="278"/>
      <c r="D56" s="278"/>
      <c r="E56" s="278"/>
      <c r="F56" s="278"/>
      <c r="G56" s="1147" t="s">
        <v>230</v>
      </c>
      <c r="H56" s="1147"/>
      <c r="I56" s="1147"/>
      <c r="J56" s="1147"/>
      <c r="K56" s="1147"/>
      <c r="L56" s="1147"/>
      <c r="M56" s="60"/>
      <c r="N56" s="60"/>
      <c r="O56" s="60"/>
      <c r="P56" s="60"/>
      <c r="Q56" s="1146" t="s">
        <v>231</v>
      </c>
      <c r="R56" s="1146"/>
      <c r="S56" s="1146"/>
      <c r="T56" s="1146"/>
      <c r="U56" s="1146"/>
    </row>
    <row r="57" spans="1:30" ht="20.25">
      <c r="A57" s="54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175"/>
      <c r="N57" s="1175"/>
      <c r="O57" s="1175"/>
      <c r="P57" s="1175"/>
      <c r="Q57" s="1175"/>
    </row>
    <row r="58" spans="1:30">
      <c r="A58" s="53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30" ht="20.25">
      <c r="A59" s="541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209"/>
      <c r="S59" s="209"/>
      <c r="T59" s="209"/>
      <c r="U59" s="209"/>
      <c r="V59" s="246"/>
      <c r="W59" s="246"/>
      <c r="Z59" s="246"/>
      <c r="AA59" s="246"/>
      <c r="AB59" s="246"/>
      <c r="AC59" s="246"/>
      <c r="AD59" s="246"/>
    </row>
    <row r="60" spans="1:30">
      <c r="A60" s="53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70" spans="8:8" ht="15.75">
      <c r="H70" s="211" t="s">
        <v>248</v>
      </c>
    </row>
  </sheetData>
  <sheetProtection selectLockedCells="1" selectUnlockedCells="1"/>
  <mergeCells count="41">
    <mergeCell ref="AB20:AB21"/>
    <mergeCell ref="AB12:AB13"/>
    <mergeCell ref="V12:V13"/>
    <mergeCell ref="W12:W13"/>
    <mergeCell ref="X12:X13"/>
    <mergeCell ref="Y12:Y13"/>
    <mergeCell ref="Z12:Z13"/>
    <mergeCell ref="AA12:AA13"/>
    <mergeCell ref="V16:V18"/>
    <mergeCell ref="V19:V21"/>
    <mergeCell ref="X9:Y9"/>
    <mergeCell ref="Z9:AA9"/>
    <mergeCell ref="W10:X10"/>
    <mergeCell ref="Y10:Z10"/>
    <mergeCell ref="AA10:AB10"/>
    <mergeCell ref="AB9:AC9"/>
    <mergeCell ref="M57:Q57"/>
    <mergeCell ref="Q55:U55"/>
    <mergeCell ref="L10:M10"/>
    <mergeCell ref="G55:L55"/>
    <mergeCell ref="Q56:U56"/>
    <mergeCell ref="G56:L56"/>
    <mergeCell ref="J10:K10"/>
    <mergeCell ref="G9:K9"/>
    <mergeCell ref="O10:P10"/>
    <mergeCell ref="T10:U10"/>
    <mergeCell ref="Q10:R10"/>
    <mergeCell ref="V10:V11"/>
    <mergeCell ref="Q9:U9"/>
    <mergeCell ref="L9:P9"/>
    <mergeCell ref="V9:W9"/>
    <mergeCell ref="V22:V24"/>
    <mergeCell ref="V25:V27"/>
    <mergeCell ref="A1:U4"/>
    <mergeCell ref="B8:M8"/>
    <mergeCell ref="A9:A11"/>
    <mergeCell ref="B9:B11"/>
    <mergeCell ref="C9:F9"/>
    <mergeCell ref="C10:D10"/>
    <mergeCell ref="E10:F10"/>
    <mergeCell ref="G10:H10"/>
  </mergeCells>
  <printOptions horizontalCentered="1"/>
  <pageMargins left="0" right="0" top="0.19685039370078741" bottom="0.19685039370078741" header="0" footer="0"/>
  <pageSetup paperSize="9" scale="54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19</vt:i4>
      </vt:variant>
    </vt:vector>
  </HeadingPairs>
  <TitlesOfParts>
    <vt:vector size="32" baseType="lpstr">
      <vt:lpstr>Послуга ЦО</vt:lpstr>
      <vt:lpstr>Додаток1 ТЭ</vt:lpstr>
      <vt:lpstr>Додаток1 скор</vt:lpstr>
      <vt:lpstr>Додаток2</vt:lpstr>
      <vt:lpstr>Додаток2 скор</vt:lpstr>
      <vt:lpstr>Додаток3</vt:lpstr>
      <vt:lpstr>Додаток3 скор</vt:lpstr>
      <vt:lpstr>Додаток4</vt:lpstr>
      <vt:lpstr>Додаток4 скор</vt:lpstr>
      <vt:lpstr>Двоставк</vt:lpstr>
      <vt:lpstr>Додаток5</vt:lpstr>
      <vt:lpstr>Додаток 5</vt:lpstr>
      <vt:lpstr>Лист1</vt:lpstr>
      <vt:lpstr>'Додаток1 ТЭ'!Заголовки_для_печати</vt:lpstr>
      <vt:lpstr>Додаток2!Заголовки_для_печати</vt:lpstr>
      <vt:lpstr>'Додаток2 скор'!Заголовки_для_печати</vt:lpstr>
      <vt:lpstr>Додаток3!Заголовки_для_печати</vt:lpstr>
      <vt:lpstr>'Додаток3 скор'!Заголовки_для_печати</vt:lpstr>
      <vt:lpstr>Додаток4!Заголовки_для_печати</vt:lpstr>
      <vt:lpstr>'Послуга ЦО'!Заголовки_для_печати</vt:lpstr>
      <vt:lpstr>Двоставк!Область_печати</vt:lpstr>
      <vt:lpstr>'Додаток 5'!Область_печати</vt:lpstr>
      <vt:lpstr>'Додаток1 скор'!Область_печати</vt:lpstr>
      <vt:lpstr>'Додаток1 ТЭ'!Область_печати</vt:lpstr>
      <vt:lpstr>Додаток2!Область_печати</vt:lpstr>
      <vt:lpstr>'Додаток2 скор'!Область_печати</vt:lpstr>
      <vt:lpstr>Додаток3!Область_печати</vt:lpstr>
      <vt:lpstr>'Додаток3 скор'!Область_печати</vt:lpstr>
      <vt:lpstr>Додаток4!Область_печати</vt:lpstr>
      <vt:lpstr>'Додаток4 скор'!Область_печати</vt:lpstr>
      <vt:lpstr>Додаток5!Область_печати</vt:lpstr>
      <vt:lpstr>'Послуга ЦО'!Область_печати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 А. Катерина</dc:creator>
  <cp:lastModifiedBy>admin</cp:lastModifiedBy>
  <cp:lastPrinted>2017-10-31T05:35:18Z</cp:lastPrinted>
  <dcterms:created xsi:type="dcterms:W3CDTF">2011-10-25T08:00:51Z</dcterms:created>
  <dcterms:modified xsi:type="dcterms:W3CDTF">2017-11-01T12:07:02Z</dcterms:modified>
</cp:coreProperties>
</file>