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A2F294A-5E5D-4803-88FE-D4B39C18E55C}" xr6:coauthVersionLast="37" xr6:coauthVersionMax="37" xr10:uidLastSave="{00000000-0000-0000-0000-000000000000}"/>
  <bookViews>
    <workbookView xWindow="2520" yWindow="0" windowWidth="26280" windowHeight="12810" xr2:uid="{6D76D299-9151-41D6-8DA7-87E50C286AC1}"/>
  </bookViews>
  <sheets>
    <sheet name="9міс 2020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D58" i="1"/>
  <c r="C58" i="1"/>
  <c r="AD58" i="1" s="1"/>
  <c r="D57" i="1"/>
  <c r="C57" i="1"/>
  <c r="AD57" i="1" s="1"/>
  <c r="D56" i="1"/>
  <c r="E56" i="1" s="1"/>
  <c r="C56" i="1"/>
  <c r="AD56" i="1" s="1"/>
  <c r="E55" i="1"/>
  <c r="D55" i="1"/>
  <c r="C55" i="1"/>
  <c r="AD55" i="1" s="1"/>
  <c r="D54" i="1"/>
  <c r="C54" i="1"/>
  <c r="AD54" i="1" s="1"/>
  <c r="D53" i="1"/>
  <c r="E53" i="1" s="1"/>
  <c r="C53" i="1"/>
  <c r="AD53" i="1" s="1"/>
  <c r="E52" i="1"/>
  <c r="D52" i="1"/>
  <c r="C52" i="1"/>
  <c r="AD52" i="1" s="1"/>
  <c r="D51" i="1"/>
  <c r="C51" i="1"/>
  <c r="AD51" i="1" s="1"/>
  <c r="D50" i="1"/>
  <c r="E50" i="1" s="1"/>
  <c r="C50" i="1"/>
  <c r="AD50" i="1" s="1"/>
  <c r="E49" i="1"/>
  <c r="D49" i="1"/>
  <c r="C49" i="1"/>
  <c r="AD49" i="1" s="1"/>
  <c r="AC47" i="1"/>
  <c r="AC59" i="1" s="1"/>
  <c r="AB47" i="1"/>
  <c r="AA47" i="1"/>
  <c r="AA59" i="1" s="1"/>
  <c r="Z47" i="1"/>
  <c r="Y47" i="1"/>
  <c r="X47" i="1"/>
  <c r="X59" i="1" s="1"/>
  <c r="W47" i="1"/>
  <c r="V47" i="1"/>
  <c r="U47" i="1"/>
  <c r="U59" i="1" s="1"/>
  <c r="T47" i="1"/>
  <c r="S47" i="1"/>
  <c r="R47" i="1"/>
  <c r="R59" i="1" s="1"/>
  <c r="Q47" i="1"/>
  <c r="P47" i="1"/>
  <c r="O47" i="1"/>
  <c r="O59" i="1" s="1"/>
  <c r="N47" i="1"/>
  <c r="M47" i="1"/>
  <c r="L47" i="1"/>
  <c r="L59" i="1" s="1"/>
  <c r="K47" i="1"/>
  <c r="K59" i="1" s="1"/>
  <c r="J47" i="1"/>
  <c r="I47" i="1"/>
  <c r="H47" i="1"/>
  <c r="G47" i="1"/>
  <c r="D47" i="1" s="1"/>
  <c r="E47" i="1" s="1"/>
  <c r="F47" i="1"/>
  <c r="C47" i="1"/>
  <c r="D46" i="1"/>
  <c r="C46" i="1"/>
  <c r="AD46" i="1" s="1"/>
  <c r="W45" i="1"/>
  <c r="U45" i="1"/>
  <c r="Q45" i="1"/>
  <c r="O45" i="1"/>
  <c r="M45" i="1"/>
  <c r="M43" i="1" s="1"/>
  <c r="K45" i="1"/>
  <c r="D45" i="1" s="1"/>
  <c r="J45" i="1"/>
  <c r="C45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L43" i="1"/>
  <c r="K43" i="1"/>
  <c r="J43" i="1"/>
  <c r="I43" i="1"/>
  <c r="H43" i="1"/>
  <c r="G43" i="1"/>
  <c r="D43" i="1" s="1"/>
  <c r="E43" i="1" s="1"/>
  <c r="F43" i="1"/>
  <c r="C43" i="1"/>
  <c r="AD43" i="1" s="1"/>
  <c r="D42" i="1"/>
  <c r="E42" i="1" s="1"/>
  <c r="C42" i="1"/>
  <c r="AD42" i="1" s="1"/>
  <c r="W41" i="1"/>
  <c r="W25" i="1" s="1"/>
  <c r="U41" i="1"/>
  <c r="C41" i="1"/>
  <c r="E40" i="1"/>
  <c r="D40" i="1"/>
  <c r="C40" i="1"/>
  <c r="AD40" i="1" s="1"/>
  <c r="D39" i="1"/>
  <c r="C39" i="1"/>
  <c r="AD39" i="1" s="1"/>
  <c r="D38" i="1"/>
  <c r="E38" i="1" s="1"/>
  <c r="C38" i="1"/>
  <c r="AD38" i="1" s="1"/>
  <c r="E37" i="1"/>
  <c r="D37" i="1"/>
  <c r="C37" i="1"/>
  <c r="AD37" i="1" s="1"/>
  <c r="D36" i="1"/>
  <c r="C36" i="1"/>
  <c r="AD36" i="1" s="1"/>
  <c r="D35" i="1"/>
  <c r="E35" i="1" s="1"/>
  <c r="C35" i="1"/>
  <c r="AD35" i="1" s="1"/>
  <c r="E34" i="1"/>
  <c r="D34" i="1"/>
  <c r="C34" i="1"/>
  <c r="AD34" i="1" s="1"/>
  <c r="D33" i="1"/>
  <c r="AD33" i="1" s="1"/>
  <c r="C33" i="1"/>
  <c r="AD32" i="1"/>
  <c r="D32" i="1"/>
  <c r="E32" i="1" s="1"/>
  <c r="C32" i="1"/>
  <c r="D31" i="1"/>
  <c r="AD31" i="1" s="1"/>
  <c r="C31" i="1"/>
  <c r="D30" i="1"/>
  <c r="AD30" i="1" s="1"/>
  <c r="C30" i="1"/>
  <c r="AD29" i="1"/>
  <c r="D29" i="1"/>
  <c r="E29" i="1" s="1"/>
  <c r="C29" i="1"/>
  <c r="D28" i="1"/>
  <c r="AD28" i="1" s="1"/>
  <c r="C28" i="1"/>
  <c r="D27" i="1"/>
  <c r="AD27" i="1" s="1"/>
  <c r="C27" i="1"/>
  <c r="AC25" i="1"/>
  <c r="AB25" i="1"/>
  <c r="AA25" i="1"/>
  <c r="Z25" i="1"/>
  <c r="Y25" i="1"/>
  <c r="X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D25" i="1" s="1"/>
  <c r="H25" i="1"/>
  <c r="G25" i="1"/>
  <c r="F25" i="1"/>
  <c r="C25" i="1" s="1"/>
  <c r="AD25" i="1" s="1"/>
  <c r="AD24" i="1"/>
  <c r="J24" i="1"/>
  <c r="E24" i="1"/>
  <c r="D24" i="1"/>
  <c r="C24" i="1"/>
  <c r="W23" i="1"/>
  <c r="W20" i="1" s="1"/>
  <c r="U23" i="1"/>
  <c r="S23" i="1"/>
  <c r="S20" i="1" s="1"/>
  <c r="M23" i="1"/>
  <c r="J23" i="1"/>
  <c r="C23" i="1" s="1"/>
  <c r="AD22" i="1"/>
  <c r="D22" i="1"/>
  <c r="E22" i="1" s="1"/>
  <c r="C22" i="1"/>
  <c r="AC20" i="1"/>
  <c r="AB20" i="1"/>
  <c r="AA20" i="1"/>
  <c r="Z20" i="1"/>
  <c r="Y20" i="1"/>
  <c r="Y7" i="1" s="1"/>
  <c r="Y59" i="1" s="1"/>
  <c r="X20" i="1"/>
  <c r="X7" i="1" s="1"/>
  <c r="V20" i="1"/>
  <c r="U20" i="1"/>
  <c r="T20" i="1"/>
  <c r="R20" i="1"/>
  <c r="R7" i="1" s="1"/>
  <c r="Q20" i="1"/>
  <c r="P20" i="1"/>
  <c r="O20" i="1"/>
  <c r="N20" i="1"/>
  <c r="M20" i="1"/>
  <c r="L20" i="1"/>
  <c r="L7" i="1" s="1"/>
  <c r="K20" i="1"/>
  <c r="J20" i="1"/>
  <c r="I20" i="1"/>
  <c r="H20" i="1"/>
  <c r="G20" i="1"/>
  <c r="G7" i="1" s="1"/>
  <c r="F20" i="1"/>
  <c r="C20" i="1" s="1"/>
  <c r="D19" i="1"/>
  <c r="C19" i="1"/>
  <c r="AD19" i="1" s="1"/>
  <c r="E18" i="1"/>
  <c r="D18" i="1"/>
  <c r="C18" i="1"/>
  <c r="AD18" i="1" s="1"/>
  <c r="Q17" i="1"/>
  <c r="D17" i="1" s="1"/>
  <c r="I17" i="1"/>
  <c r="C17" i="1"/>
  <c r="V16" i="1"/>
  <c r="C16" i="1" s="1"/>
  <c r="AD16" i="1" s="1"/>
  <c r="D16" i="1"/>
  <c r="AF5" i="1" s="1"/>
  <c r="D15" i="1"/>
  <c r="C15" i="1"/>
  <c r="AD15" i="1" s="1"/>
  <c r="W14" i="1"/>
  <c r="W11" i="1" s="1"/>
  <c r="W7" i="1" s="1"/>
  <c r="V14" i="1"/>
  <c r="U14" i="1"/>
  <c r="U11" i="1" s="1"/>
  <c r="U7" i="1" s="1"/>
  <c r="S14" i="1"/>
  <c r="S11" i="1" s="1"/>
  <c r="Q14" i="1"/>
  <c r="Q11" i="1" s="1"/>
  <c r="Q7" i="1" s="1"/>
  <c r="N14" i="1"/>
  <c r="M14" i="1"/>
  <c r="M11" i="1" s="1"/>
  <c r="L14" i="1"/>
  <c r="K14" i="1"/>
  <c r="J14" i="1"/>
  <c r="C14" i="1" s="1"/>
  <c r="I14" i="1"/>
  <c r="I11" i="1" s="1"/>
  <c r="W13" i="1"/>
  <c r="J13" i="1"/>
  <c r="C13" i="1" s="1"/>
  <c r="AD13" i="1" s="1"/>
  <c r="D13" i="1"/>
  <c r="AF4" i="1" s="1"/>
  <c r="AC11" i="1"/>
  <c r="AB11" i="1"/>
  <c r="AB7" i="1" s="1"/>
  <c r="AB59" i="1" s="1"/>
  <c r="AA11" i="1"/>
  <c r="Z11" i="1"/>
  <c r="Z7" i="1" s="1"/>
  <c r="Y11" i="1"/>
  <c r="X11" i="1"/>
  <c r="V11" i="1"/>
  <c r="V7" i="1" s="1"/>
  <c r="V59" i="1" s="1"/>
  <c r="T11" i="1"/>
  <c r="T7" i="1" s="1"/>
  <c r="R11" i="1"/>
  <c r="P11" i="1"/>
  <c r="P7" i="1" s="1"/>
  <c r="P59" i="1" s="1"/>
  <c r="O11" i="1"/>
  <c r="N11" i="1"/>
  <c r="N7" i="1" s="1"/>
  <c r="L11" i="1"/>
  <c r="K11" i="1"/>
  <c r="J11" i="1"/>
  <c r="H11" i="1"/>
  <c r="H7" i="1" s="1"/>
  <c r="G11" i="1"/>
  <c r="F11" i="1"/>
  <c r="C11" i="1" s="1"/>
  <c r="W10" i="1"/>
  <c r="U10" i="1"/>
  <c r="S10" i="1"/>
  <c r="Q10" i="1"/>
  <c r="O10" i="1"/>
  <c r="M10" i="1"/>
  <c r="K10" i="1"/>
  <c r="J10" i="1"/>
  <c r="C10" i="1" s="1"/>
  <c r="W9" i="1"/>
  <c r="U9" i="1"/>
  <c r="S9" i="1"/>
  <c r="S7" i="1" s="1"/>
  <c r="S59" i="1" s="1"/>
  <c r="Q9" i="1"/>
  <c r="O9" i="1"/>
  <c r="M9" i="1"/>
  <c r="K9" i="1"/>
  <c r="D9" i="1" s="1"/>
  <c r="J9" i="1"/>
  <c r="J7" i="1" s="1"/>
  <c r="J59" i="1" s="1"/>
  <c r="C9" i="1"/>
  <c r="AD9" i="1" s="1"/>
  <c r="AC7" i="1"/>
  <c r="AA7" i="1"/>
  <c r="O7" i="1"/>
  <c r="K7" i="1"/>
  <c r="E9" i="1" l="1"/>
  <c r="D11" i="1"/>
  <c r="I7" i="1"/>
  <c r="I59" i="1" s="1"/>
  <c r="D7" i="1"/>
  <c r="E7" i="1" s="1"/>
  <c r="G59" i="1"/>
  <c r="H59" i="1"/>
  <c r="N59" i="1"/>
  <c r="T59" i="1"/>
  <c r="Z59" i="1"/>
  <c r="D20" i="1"/>
  <c r="AD17" i="1"/>
  <c r="E17" i="1"/>
  <c r="E25" i="1"/>
  <c r="AF8" i="1"/>
  <c r="AF9" i="1"/>
  <c r="AD45" i="1"/>
  <c r="E45" i="1"/>
  <c r="M7" i="1"/>
  <c r="M59" i="1" s="1"/>
  <c r="AD11" i="1"/>
  <c r="AD47" i="1"/>
  <c r="Q59" i="1"/>
  <c r="W59" i="1"/>
  <c r="E13" i="1"/>
  <c r="E16" i="1"/>
  <c r="E28" i="1"/>
  <c r="E31" i="1"/>
  <c r="D10" i="1"/>
  <c r="E10" i="1" s="1"/>
  <c r="D23" i="1"/>
  <c r="E23" i="1" s="1"/>
  <c r="E36" i="1"/>
  <c r="E39" i="1"/>
  <c r="E51" i="1"/>
  <c r="E54" i="1"/>
  <c r="E57" i="1"/>
  <c r="E27" i="1"/>
  <c r="E30" i="1"/>
  <c r="D41" i="1"/>
  <c r="E41" i="1" s="1"/>
  <c r="D14" i="1"/>
  <c r="E14" i="1" s="1"/>
  <c r="F7" i="1"/>
  <c r="C7" i="1" s="1"/>
  <c r="D59" i="1" l="1"/>
  <c r="AD7" i="1"/>
  <c r="AD59" i="1"/>
  <c r="F59" i="1"/>
  <c r="C59" i="1" s="1"/>
  <c r="AF7" i="1"/>
  <c r="E20" i="1"/>
  <c r="AF6" i="1"/>
  <c r="E11" i="1"/>
  <c r="AD14" i="1"/>
  <c r="AD41" i="1"/>
  <c r="AF3" i="1"/>
  <c r="AD10" i="1"/>
  <c r="AD20" i="1"/>
  <c r="AD23" i="1"/>
  <c r="E59" i="1" l="1"/>
</calcChain>
</file>

<file path=xl/sharedStrings.xml><?xml version="1.0" encoding="utf-8"?>
<sst xmlns="http://schemas.openxmlformats.org/spreadsheetml/2006/main" count="140" uniqueCount="112">
  <si>
    <t>Звіт про використання бюджетних коштів за січень-вересень 2020 року</t>
  </si>
  <si>
    <r>
      <t xml:space="preserve">Структура використання бюджетних коштів за </t>
    </r>
    <r>
      <rPr>
        <b/>
        <sz val="16"/>
        <color rgb="FFFF0000"/>
        <rFont val="Times New Roman"/>
        <family val="1"/>
        <charset val="204"/>
      </rPr>
      <t xml:space="preserve"> І півріччя 2020 рік</t>
    </r>
  </si>
  <si>
    <t>КП "Затишне місто"</t>
  </si>
  <si>
    <t>БЮДЖЕТ ЗА 9 місяців 2020 рік</t>
  </si>
  <si>
    <t>Оплата праці</t>
  </si>
  <si>
    <t>№ з/п</t>
  </si>
  <si>
    <t>Назва видатків, об'єктів</t>
  </si>
  <si>
    <t xml:space="preserve">Разом </t>
  </si>
  <si>
    <t>січень-вересень 2020 року</t>
  </si>
  <si>
    <t>залишок (тис.грн.)</t>
  </si>
  <si>
    <t>ПММ</t>
  </si>
  <si>
    <t>Матеріали та запчастини АТД</t>
  </si>
  <si>
    <t>план</t>
  </si>
  <si>
    <t>виконано</t>
  </si>
  <si>
    <t>% виконання</t>
  </si>
  <si>
    <t>Матеріали ЦБ</t>
  </si>
  <si>
    <t>Видатки (благоустрій)-всього (тис.грн.):</t>
  </si>
  <si>
    <t>Комунальні послуги</t>
  </si>
  <si>
    <t>в тому числі</t>
  </si>
  <si>
    <t>Інші послуги</t>
  </si>
  <si>
    <t>1.1</t>
  </si>
  <si>
    <t>Заробітна плата</t>
  </si>
  <si>
    <t>Податки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</si>
  <si>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</si>
  <si>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</si>
  <si>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</si>
  <si>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</si>
  <si>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</si>
  <si>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</si>
  <si>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</si>
  <si>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</si>
  <si>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</si>
  <si>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</si>
  <si>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</si>
  <si>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</si>
  <si>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</si>
  <si>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</si>
  <si>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</si>
  <si>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</si>
  <si>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</si>
  <si>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</si>
  <si>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</si>
  <si>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</si>
  <si>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</si>
  <si>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</si>
  <si>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</si>
  <si>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</si>
  <si>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</si>
  <si>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</si>
  <si>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</si>
  <si>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</si>
  <si>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</si>
  <si>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</si>
  <si>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</si>
  <si>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</si>
  <si>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</si>
  <si>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</si>
  <si>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транспорту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</si>
  <si>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</si>
  <si>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</si>
  <si>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</si>
  <si>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</si>
  <si>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</si>
  <si>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</si>
  <si>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</si>
  <si>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</si>
  <si>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</si>
  <si>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</si>
  <si>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</si>
  <si>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</si>
  <si>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</si>
  <si>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</si>
  <si>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</si>
  <si>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послуги з утримання газонів</t>
  </si>
  <si>
    <t>1.5.12</t>
  </si>
  <si>
    <t>послуги з ремонту та тех обсл трансформаторів</t>
  </si>
  <si>
    <t>1.5.13</t>
  </si>
  <si>
    <t>обов'язковий технічний контроль ТЗ</t>
  </si>
  <si>
    <t>1.5.14</t>
  </si>
  <si>
    <t>страхування транспорту</t>
  </si>
  <si>
    <t>1.5.15</t>
  </si>
  <si>
    <t>інші послуги</t>
  </si>
  <si>
    <t>1.5.16</t>
  </si>
  <si>
    <t>послуги з встановлення газового обладнання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</si>
  <si>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</si>
  <si>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</si>
  <si>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</si>
  <si>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</si>
  <si>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</si>
  <si>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</si>
  <si>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</si>
  <si>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</si>
  <si>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</si>
  <si>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саджанців дерев</t>
  </si>
  <si>
    <t>2.2</t>
  </si>
  <si>
    <t>Придбання саджанців кущів</t>
  </si>
  <si>
    <t>2.3</t>
  </si>
  <si>
    <t xml:space="preserve">Придбання трави газонної </t>
  </si>
  <si>
    <t>2.4</t>
  </si>
  <si>
    <t>Придбання газонокосарок</t>
  </si>
  <si>
    <t>2.5</t>
  </si>
  <si>
    <t>Придбання тримерів</t>
  </si>
  <si>
    <t>2.6</t>
  </si>
  <si>
    <t>2.7</t>
  </si>
  <si>
    <t>2.8</t>
  </si>
  <si>
    <t>2.9</t>
  </si>
  <si>
    <t>2.10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</si>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</sst>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0" xfId="0" applyNumberFormat="1" applyFont="1"/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Border="1"/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justify" vertical="center"/>
    </xf>
    <xf numFmtId="16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164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justify" vertical="center"/>
    </xf>
    <xf numFmtId="164" fontId="0" fillId="0" borderId="0" xfId="0" applyNumberFormat="1" applyFont="1" applyFill="1"/>
    <xf numFmtId="0" fontId="0" fillId="0" borderId="0" xfId="0" applyFont="1" applyFill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10" fillId="0" borderId="0" xfId="0" applyFont="1" applyFill="1"/>
    <xf numFmtId="0" fontId="10" fillId="0" borderId="0" xfId="0" applyFont="1"/>
    <xf numFmtId="0" fontId="4" fillId="0" borderId="2" xfId="0" applyFont="1" applyFill="1" applyBorder="1" applyAlignment="1">
      <alignment wrapText="1" shrinkToFit="1"/>
    </xf>
    <xf numFmtId="0" fontId="7" fillId="3" borderId="2" xfId="0" applyFont="1" applyFill="1" applyBorder="1" applyAlignment="1">
      <alignment vertical="center"/>
    </xf>
    <xf numFmtId="49" fontId="4" fillId="0" borderId="0" xfId="0" applyNumberFormat="1" applyFont="1" applyFill="1"/>
    <xf numFmtId="0" fontId="11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4" fillId="0" borderId="0" xfId="0" applyFont="1"/>
    <xf numFmtId="164" fontId="7" fillId="0" borderId="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57909378094209E-3"/>
          <c:y val="7.693652065946846E-2"/>
          <c:w val="0.9738808071261118"/>
          <c:h val="0.78851775355582343"/>
        </c:manualLayout>
      </c:layout>
      <c:pieChart>
        <c:varyColors val="1"/>
        <c:ser>
          <c:idx val="0"/>
          <c:order val="0"/>
          <c:explosion val="23"/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ru-U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'9міс 2020'!$AF$3:$AF$9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'9міс 2020'!$AE$3:$AE$9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E-2573-45A7-9CEB-97E74F098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UA"/>
    </a:p>
  </c:txPr>
  <c:printSettings>
    <c:headerFooter/>
    <c:pageMargins b="0.75" l="0.7" r="0.7" t="0.75" header="0.3" footer="0.3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38098</xdr:colOff>
      <xdr:row>0</xdr:row>
      <xdr:rowOff>78581</xdr:rowOff>
    </xdr:from>
    <xdr:to>
      <xdr:col>42</xdr:col>
      <xdr:colOff>38098</xdr:colOff>
      <xdr:row>46</xdr:row>
      <xdr:rowOff>202406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56C4308A-1AE8-4657-AFE4-140D3652F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90;&#1080;&#1096;&#1085;&#1077;%20&#1084;&#1110;&#1089;&#1090;&#1086;\2020\&#1047;&#1042;&#1030;&#1058;%20&#1073;&#1102;&#1076;&#1078;&#1077;&#1090;%20&#1079;&#1072;%2020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"/>
      <sheetName val="8 мес"/>
      <sheetName val="9 мес + гистогр"/>
      <sheetName val="1 квартал 17"/>
      <sheetName val="4 міс 17"/>
      <sheetName val="5 міс 17"/>
      <sheetName val="6 міс 17"/>
      <sheetName val="7 міс 17"/>
      <sheetName val="9 міс 17"/>
      <sheetName val="12 міс 17"/>
      <sheetName val="1кв 2018"/>
      <sheetName val="6 міс 2018"/>
      <sheetName val="9 міс 2018"/>
      <sheetName val="за рік 2018"/>
      <sheetName val="І кв 2019"/>
      <sheetName val="6 міс 2019"/>
      <sheetName val="9 міс 2019"/>
      <sheetName val="за рік 2019"/>
      <sheetName val="1кв 2020"/>
      <sheetName val="6міс 2020"/>
      <sheetName val="8міс 2020"/>
      <sheetName val="9міс 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3">
          <cell r="AE3" t="str">
            <v>Оплата праці</v>
          </cell>
          <cell r="AF3">
            <v>16405.7</v>
          </cell>
        </row>
        <row r="4">
          <cell r="AE4" t="str">
            <v>ПММ</v>
          </cell>
          <cell r="AF4">
            <v>4337.9000000000005</v>
          </cell>
        </row>
        <row r="5">
          <cell r="AE5" t="str">
            <v>Матеріали та запчастини АТД</v>
          </cell>
          <cell r="AF5">
            <v>840.90000000000009</v>
          </cell>
        </row>
        <row r="6">
          <cell r="AE6" t="str">
            <v>Матеріали ЦБ</v>
          </cell>
          <cell r="AF6">
            <v>4063.4999999999995</v>
          </cell>
        </row>
        <row r="7">
          <cell r="AE7" t="str">
            <v>Комунальні послуги</v>
          </cell>
          <cell r="AF7">
            <v>527.6</v>
          </cell>
        </row>
        <row r="8">
          <cell r="AE8" t="str">
            <v>Інші послуги</v>
          </cell>
          <cell r="AF8">
            <v>757</v>
          </cell>
        </row>
        <row r="9">
          <cell r="AE9" t="str">
            <v>Податки</v>
          </cell>
          <cell r="AF9">
            <v>3167.2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7DCA-14ED-45FB-884A-E02C79635CA0}">
  <sheetPr>
    <pageSetUpPr fitToPage="1"/>
  </sheetPr>
  <dimension ref="A1:BH64"/>
  <sheetViews>
    <sheetView tabSelected="1" showWhiteSpace="0" topLeftCell="A10" zoomScale="80" zoomScaleNormal="80" zoomScalePageLayoutView="80" workbookViewId="0">
      <selection activeCell="G29" sqref="G29"/>
    </sheetView>
  </sheetViews>
  <sheetFormatPr defaultRowHeight="18.75" x14ac:dyDescent="0.3"/>
  <cols>
    <col min="1" max="1" width="8.85546875" style="40" customWidth="1"/>
    <col min="2" max="2" width="55.85546875" style="3" customWidth="1"/>
    <col min="3" max="3" width="11.85546875" style="3" customWidth="1"/>
    <col min="4" max="4" width="13.85546875" style="3" customWidth="1"/>
    <col min="5" max="5" width="12.28515625" style="3" customWidth="1"/>
    <col min="6" max="6" width="9.28515625" style="3" customWidth="1"/>
    <col min="7" max="7" width="9.85546875" style="3" customWidth="1"/>
    <col min="8" max="8" width="9.140625" style="3" customWidth="1"/>
    <col min="9" max="9" width="10.28515625" style="3" customWidth="1"/>
    <col min="10" max="10" width="9.140625" style="3" customWidth="1"/>
    <col min="11" max="11" width="10.28515625" style="3" customWidth="1"/>
    <col min="12" max="12" width="9.140625" style="3" customWidth="1"/>
    <col min="13" max="13" width="10.28515625" style="3" customWidth="1"/>
    <col min="14" max="14" width="9.140625" style="3" customWidth="1"/>
    <col min="15" max="15" width="10.28515625" style="3" customWidth="1"/>
    <col min="16" max="16" width="9.140625" style="3" customWidth="1"/>
    <col min="17" max="17" width="9.7109375" style="3" customWidth="1"/>
    <col min="18" max="18" width="9.140625" style="3" customWidth="1"/>
    <col min="19" max="19" width="10.28515625" style="3" customWidth="1"/>
    <col min="20" max="20" width="9.140625" style="3" customWidth="1"/>
    <col min="21" max="21" width="10.28515625" style="3" customWidth="1"/>
    <col min="22" max="22" width="9.28515625" style="3" customWidth="1"/>
    <col min="23" max="23" width="10.28515625" style="3" customWidth="1"/>
    <col min="24" max="24" width="9.140625" style="3" hidden="1" customWidth="1"/>
    <col min="25" max="25" width="10.28515625" style="3" hidden="1" customWidth="1"/>
    <col min="26" max="26" width="9.140625" style="3" hidden="1" customWidth="1"/>
    <col min="27" max="27" width="10.28515625" style="3" hidden="1" customWidth="1"/>
    <col min="28" max="28" width="9.140625" style="3" hidden="1" customWidth="1"/>
    <col min="29" max="29" width="10.28515625" style="3" hidden="1" customWidth="1"/>
    <col min="30" max="30" width="11.85546875" style="42" customWidth="1"/>
    <col min="31" max="31" width="19.140625" style="3" hidden="1" customWidth="1"/>
    <col min="32" max="42" width="0" style="3" hidden="1" customWidth="1"/>
    <col min="43" max="16384" width="9.140625" style="3"/>
  </cols>
  <sheetData>
    <row r="1" spans="1:6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 t="s">
        <v>1</v>
      </c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8.75" customHeight="1" x14ac:dyDescent="0.3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60" ht="18" customHeight="1" x14ac:dyDescent="0.3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3" t="s">
        <v>4</v>
      </c>
      <c r="AF3" s="6">
        <f>SUM(D9:D10)</f>
        <v>16405.7</v>
      </c>
    </row>
    <row r="4" spans="1:60" ht="17.25" customHeight="1" x14ac:dyDescent="0.2">
      <c r="A4" s="7" t="s">
        <v>5</v>
      </c>
      <c r="B4" s="8" t="s">
        <v>6</v>
      </c>
      <c r="C4" s="9" t="s">
        <v>7</v>
      </c>
      <c r="D4" s="9"/>
      <c r="E4" s="9"/>
      <c r="F4" s="9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0" t="s">
        <v>9</v>
      </c>
      <c r="AE4" s="3" t="s">
        <v>10</v>
      </c>
      <c r="AF4" s="6">
        <f>D13</f>
        <v>4337.9000000000005</v>
      </c>
    </row>
    <row r="5" spans="1:60" ht="18.75" customHeight="1" x14ac:dyDescent="0.2">
      <c r="A5" s="7"/>
      <c r="B5" s="8"/>
      <c r="C5" s="9"/>
      <c r="D5" s="9"/>
      <c r="E5" s="9"/>
      <c r="F5" s="9">
        <v>1</v>
      </c>
      <c r="G5" s="9"/>
      <c r="H5" s="9">
        <v>2</v>
      </c>
      <c r="I5" s="9"/>
      <c r="J5" s="9">
        <v>3</v>
      </c>
      <c r="K5" s="9"/>
      <c r="L5" s="9">
        <v>4</v>
      </c>
      <c r="M5" s="9"/>
      <c r="N5" s="9">
        <v>5</v>
      </c>
      <c r="O5" s="9"/>
      <c r="P5" s="9">
        <v>6</v>
      </c>
      <c r="Q5" s="9"/>
      <c r="R5" s="9">
        <v>7</v>
      </c>
      <c r="S5" s="9"/>
      <c r="T5" s="9">
        <v>8</v>
      </c>
      <c r="U5" s="9"/>
      <c r="V5" s="9">
        <v>9</v>
      </c>
      <c r="W5" s="9"/>
      <c r="X5" s="9">
        <v>10</v>
      </c>
      <c r="Y5" s="9"/>
      <c r="Z5" s="9">
        <v>11</v>
      </c>
      <c r="AA5" s="9"/>
      <c r="AB5" s="9">
        <v>12</v>
      </c>
      <c r="AC5" s="9"/>
      <c r="AD5" s="10"/>
      <c r="AE5" s="3" t="s">
        <v>11</v>
      </c>
      <c r="AF5" s="6">
        <f>D16</f>
        <v>840.90000000000009</v>
      </c>
    </row>
    <row r="6" spans="1:60" ht="32.25" customHeight="1" x14ac:dyDescent="0.2">
      <c r="A6" s="7"/>
      <c r="B6" s="8"/>
      <c r="C6" s="11" t="s">
        <v>12</v>
      </c>
      <c r="D6" s="11" t="s">
        <v>13</v>
      </c>
      <c r="E6" s="12" t="s">
        <v>14</v>
      </c>
      <c r="F6" s="11" t="s">
        <v>12</v>
      </c>
      <c r="G6" s="11" t="s">
        <v>13</v>
      </c>
      <c r="H6" s="11" t="s">
        <v>12</v>
      </c>
      <c r="I6" s="11" t="s">
        <v>13</v>
      </c>
      <c r="J6" s="11" t="s">
        <v>12</v>
      </c>
      <c r="K6" s="11" t="s">
        <v>13</v>
      </c>
      <c r="L6" s="11" t="s">
        <v>12</v>
      </c>
      <c r="M6" s="11" t="s">
        <v>13</v>
      </c>
      <c r="N6" s="11" t="s">
        <v>12</v>
      </c>
      <c r="O6" s="11" t="s">
        <v>13</v>
      </c>
      <c r="P6" s="11" t="s">
        <v>12</v>
      </c>
      <c r="Q6" s="11" t="s">
        <v>13</v>
      </c>
      <c r="R6" s="11" t="s">
        <v>12</v>
      </c>
      <c r="S6" s="11" t="s">
        <v>13</v>
      </c>
      <c r="T6" s="11" t="s">
        <v>12</v>
      </c>
      <c r="U6" s="11" t="s">
        <v>13</v>
      </c>
      <c r="V6" s="11" t="s">
        <v>12</v>
      </c>
      <c r="W6" s="11" t="s">
        <v>13</v>
      </c>
      <c r="X6" s="11" t="s">
        <v>12</v>
      </c>
      <c r="Y6" s="11" t="s">
        <v>13</v>
      </c>
      <c r="Z6" s="11" t="s">
        <v>12</v>
      </c>
      <c r="AA6" s="11" t="s">
        <v>13</v>
      </c>
      <c r="AB6" s="11" t="s">
        <v>12</v>
      </c>
      <c r="AC6" s="11" t="s">
        <v>13</v>
      </c>
      <c r="AD6" s="10"/>
      <c r="AE6" s="13" t="s">
        <v>15</v>
      </c>
      <c r="AF6" s="6">
        <f>D11-AF4-AF5+D47</f>
        <v>4063.4999999999995</v>
      </c>
    </row>
    <row r="7" spans="1:60" x14ac:dyDescent="0.2">
      <c r="A7" s="14">
        <v>1</v>
      </c>
      <c r="B7" s="15" t="s">
        <v>16</v>
      </c>
      <c r="C7" s="16">
        <f>F7+H7+J7+L7+N7+P7+R7+T7+V7+X7+Z7+AB7</f>
        <v>33557.5</v>
      </c>
      <c r="D7" s="16">
        <f>G7+I7+K7+M7+O7+Q7+S7+U7+W7+Y7+AA7+AC7</f>
        <v>29917.599999999999</v>
      </c>
      <c r="E7" s="16">
        <f>D7/C7%</f>
        <v>89.153244431200179</v>
      </c>
      <c r="F7" s="16">
        <f t="shared" ref="F7:AC7" si="0">F9+F10+F11+F20+F25+F43</f>
        <v>3968.7000000000003</v>
      </c>
      <c r="G7" s="17">
        <f t="shared" si="0"/>
        <v>1735.4999999999998</v>
      </c>
      <c r="H7" s="16">
        <f t="shared" si="0"/>
        <v>2633</v>
      </c>
      <c r="I7" s="17">
        <f t="shared" si="0"/>
        <v>4276.7</v>
      </c>
      <c r="J7" s="16">
        <f t="shared" si="0"/>
        <v>3579.8</v>
      </c>
      <c r="K7" s="17">
        <f t="shared" si="0"/>
        <v>2859.0999999999995</v>
      </c>
      <c r="L7" s="16">
        <f>L9+L10+L11+L20+L25+L43</f>
        <v>4601.7</v>
      </c>
      <c r="M7" s="16">
        <f t="shared" si="0"/>
        <v>4090.7000000000003</v>
      </c>
      <c r="N7" s="16">
        <f t="shared" si="0"/>
        <v>3913.7000000000003</v>
      </c>
      <c r="O7" s="17">
        <f t="shared" si="0"/>
        <v>2854.2999999999997</v>
      </c>
      <c r="P7" s="16">
        <f t="shared" si="0"/>
        <v>3322.6000000000004</v>
      </c>
      <c r="Q7" s="17">
        <f t="shared" si="0"/>
        <v>3354.6</v>
      </c>
      <c r="R7" s="16">
        <f t="shared" si="0"/>
        <v>3988.0999999999995</v>
      </c>
      <c r="S7" s="17">
        <f t="shared" si="0"/>
        <v>3688</v>
      </c>
      <c r="T7" s="16">
        <f t="shared" si="0"/>
        <v>3530.3</v>
      </c>
      <c r="U7" s="17">
        <f t="shared" si="0"/>
        <v>3745.8</v>
      </c>
      <c r="V7" s="16">
        <f t="shared" si="0"/>
        <v>4019.6000000000004</v>
      </c>
      <c r="W7" s="16">
        <f t="shared" si="0"/>
        <v>3312.9000000000005</v>
      </c>
      <c r="X7" s="16">
        <f t="shared" si="0"/>
        <v>0</v>
      </c>
      <c r="Y7" s="17">
        <f t="shared" si="0"/>
        <v>0</v>
      </c>
      <c r="Z7" s="16">
        <f t="shared" si="0"/>
        <v>0</v>
      </c>
      <c r="AA7" s="17">
        <f t="shared" si="0"/>
        <v>0</v>
      </c>
      <c r="AB7" s="16">
        <f t="shared" si="0"/>
        <v>0</v>
      </c>
      <c r="AC7" s="17">
        <f t="shared" si="0"/>
        <v>0</v>
      </c>
      <c r="AD7" s="16">
        <f>C7-D7</f>
        <v>3639.9000000000015</v>
      </c>
      <c r="AE7" s="13" t="s">
        <v>17</v>
      </c>
      <c r="AF7" s="6">
        <f>D20</f>
        <v>527.6</v>
      </c>
    </row>
    <row r="8" spans="1:60" x14ac:dyDescent="0.2">
      <c r="A8" s="18"/>
      <c r="B8" s="19" t="s">
        <v>18</v>
      </c>
      <c r="C8" s="20"/>
      <c r="D8" s="20"/>
      <c r="E8" s="2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  <c r="AE8" s="13" t="s">
        <v>19</v>
      </c>
      <c r="AF8" s="6">
        <f>SUM(D25)</f>
        <v>757</v>
      </c>
    </row>
    <row r="9" spans="1:60" s="26" customFormat="1" x14ac:dyDescent="0.2">
      <c r="A9" s="23" t="s">
        <v>20</v>
      </c>
      <c r="B9" s="24" t="s">
        <v>21</v>
      </c>
      <c r="C9" s="20">
        <f>F9+H9+J9+L9+N9+P9+R9+T9+V9+X9+Z9+AB9</f>
        <v>14265.200000000003</v>
      </c>
      <c r="D9" s="20">
        <f>G9+I9+K9+M9+O9+Q9+S9+U9+W9+Y9+AA9+AC9</f>
        <v>13467.7</v>
      </c>
      <c r="E9" s="20">
        <f>D9/C9%</f>
        <v>94.409472001794569</v>
      </c>
      <c r="F9" s="21">
        <v>2061.1999999999998</v>
      </c>
      <c r="G9" s="21">
        <v>1068.0999999999999</v>
      </c>
      <c r="H9" s="21">
        <v>980</v>
      </c>
      <c r="I9" s="21">
        <v>1791.7</v>
      </c>
      <c r="J9" s="21">
        <f>1512.5+39.9</f>
        <v>1552.4</v>
      </c>
      <c r="K9" s="21">
        <f>1562.2+21</f>
        <v>1583.2</v>
      </c>
      <c r="L9" s="21">
        <v>1653.8</v>
      </c>
      <c r="M9" s="21">
        <f>1501.9+75.9</f>
        <v>1577.8000000000002</v>
      </c>
      <c r="N9" s="21">
        <v>1756.5</v>
      </c>
      <c r="O9" s="21">
        <f>1371.1+94.6</f>
        <v>1465.6999999999998</v>
      </c>
      <c r="P9" s="21">
        <v>1697.9</v>
      </c>
      <c r="Q9" s="21">
        <f>960.3+58</f>
        <v>1018.3</v>
      </c>
      <c r="R9" s="21">
        <v>1778.2</v>
      </c>
      <c r="S9" s="21">
        <f>1515.3+91.4</f>
        <v>1606.7</v>
      </c>
      <c r="T9" s="21">
        <v>1001.7</v>
      </c>
      <c r="U9" s="21">
        <f>1881.1+54.1</f>
        <v>1935.1999999999998</v>
      </c>
      <c r="V9" s="21">
        <v>1783.5</v>
      </c>
      <c r="W9" s="21">
        <f>1323.7+97.3</f>
        <v>1421</v>
      </c>
      <c r="X9" s="21"/>
      <c r="Y9" s="21"/>
      <c r="Z9" s="21"/>
      <c r="AA9" s="21"/>
      <c r="AB9" s="21"/>
      <c r="AC9" s="21"/>
      <c r="AD9" s="22">
        <f>C9-D9</f>
        <v>797.50000000000182</v>
      </c>
      <c r="AE9" s="13" t="s">
        <v>22</v>
      </c>
      <c r="AF9" s="25">
        <f>D45</f>
        <v>3167.2</v>
      </c>
    </row>
    <row r="10" spans="1:60" s="26" customFormat="1" x14ac:dyDescent="0.2">
      <c r="A10" s="23" t="s">
        <v>23</v>
      </c>
      <c r="B10" s="24" t="s">
        <v>24</v>
      </c>
      <c r="C10" s="20">
        <f t="shared" ref="C10:D55" si="1">F10+H10+J10+L10+N10+P10+R10+T10+V10+X10+Z10+AB10</f>
        <v>3087.3</v>
      </c>
      <c r="D10" s="20">
        <f t="shared" si="1"/>
        <v>2938.0000000000005</v>
      </c>
      <c r="E10" s="20">
        <f>D10/C10%</f>
        <v>95.164059210313226</v>
      </c>
      <c r="F10" s="21">
        <v>453.5</v>
      </c>
      <c r="G10" s="21">
        <v>218.1</v>
      </c>
      <c r="H10" s="21">
        <v>215.6</v>
      </c>
      <c r="I10" s="21">
        <v>382.2</v>
      </c>
      <c r="J10" s="21">
        <f>332.8+8.7</f>
        <v>341.5</v>
      </c>
      <c r="K10" s="21">
        <f>325.7+4.6</f>
        <v>330.3</v>
      </c>
      <c r="L10" s="21">
        <v>312.8</v>
      </c>
      <c r="M10" s="21">
        <f>326.2+16.7</f>
        <v>342.9</v>
      </c>
      <c r="N10" s="21">
        <v>386.4</v>
      </c>
      <c r="O10" s="21">
        <f>359.7+21.8</f>
        <v>381.5</v>
      </c>
      <c r="P10" s="21">
        <v>373.5</v>
      </c>
      <c r="Q10" s="21">
        <f>201.2+11.1</f>
        <v>212.29999999999998</v>
      </c>
      <c r="R10" s="21">
        <v>391.2</v>
      </c>
      <c r="S10" s="21">
        <f>327.7+24.3</f>
        <v>352</v>
      </c>
      <c r="T10" s="21">
        <v>220.4</v>
      </c>
      <c r="U10" s="21">
        <f>408.2+6.1</f>
        <v>414.3</v>
      </c>
      <c r="V10" s="21">
        <v>392.4</v>
      </c>
      <c r="W10" s="21">
        <f>291.2+13.2</f>
        <v>304.39999999999998</v>
      </c>
      <c r="X10" s="21"/>
      <c r="Y10" s="21"/>
      <c r="Z10" s="21"/>
      <c r="AA10" s="21"/>
      <c r="AB10" s="21"/>
      <c r="AC10" s="21"/>
      <c r="AD10" s="22">
        <f>C10-D10</f>
        <v>149.29999999999973</v>
      </c>
    </row>
    <row r="11" spans="1:60" s="26" customFormat="1" x14ac:dyDescent="0.2">
      <c r="A11" s="23" t="s">
        <v>25</v>
      </c>
      <c r="B11" s="24" t="s">
        <v>26</v>
      </c>
      <c r="C11" s="20">
        <f t="shared" si="1"/>
        <v>11065.6</v>
      </c>
      <c r="D11" s="20">
        <f t="shared" si="1"/>
        <v>9060.1</v>
      </c>
      <c r="E11" s="20">
        <f>D11/C11%</f>
        <v>81.876265182186231</v>
      </c>
      <c r="F11" s="21">
        <f>SUM(F12:F19)</f>
        <v>841.80000000000007</v>
      </c>
      <c r="G11" s="21">
        <f t="shared" ref="G11:R11" si="2">SUM(G12:G19)</f>
        <v>62.3</v>
      </c>
      <c r="H11" s="20">
        <f>SUM(H12:H19)</f>
        <v>889.4</v>
      </c>
      <c r="I11" s="21">
        <f t="shared" si="2"/>
        <v>1551.5</v>
      </c>
      <c r="J11" s="21">
        <f>SUM(J12:J19)</f>
        <v>1050</v>
      </c>
      <c r="K11" s="21">
        <f t="shared" si="2"/>
        <v>401.7</v>
      </c>
      <c r="L11" s="21">
        <f t="shared" si="2"/>
        <v>1980.1</v>
      </c>
      <c r="M11" s="21">
        <f t="shared" si="2"/>
        <v>1740.9</v>
      </c>
      <c r="N11" s="21">
        <f t="shared" si="2"/>
        <v>1310.9</v>
      </c>
      <c r="O11" s="21">
        <f t="shared" si="2"/>
        <v>543.20000000000005</v>
      </c>
      <c r="P11" s="21">
        <f t="shared" si="2"/>
        <v>695.80000000000007</v>
      </c>
      <c r="Q11" s="21">
        <f t="shared" si="2"/>
        <v>1659.8999999999999</v>
      </c>
      <c r="R11" s="21">
        <f t="shared" si="2"/>
        <v>1270.8</v>
      </c>
      <c r="S11" s="21">
        <f>SUM(S12:S19)</f>
        <v>1255.5</v>
      </c>
      <c r="T11" s="20">
        <f>SUM(T12:T19)</f>
        <v>1727.1000000000001</v>
      </c>
      <c r="U11" s="21">
        <f>SUM(U12:U19)</f>
        <v>805.8</v>
      </c>
      <c r="V11" s="21">
        <f>SUM(V12:V19)</f>
        <v>1299.7</v>
      </c>
      <c r="W11" s="20">
        <f>SUM(W12:W19)</f>
        <v>1039.3000000000002</v>
      </c>
      <c r="X11" s="21">
        <f t="shared" ref="X11:AC11" si="3">SUM(X12:X19)</f>
        <v>0</v>
      </c>
      <c r="Y11" s="21">
        <f t="shared" si="3"/>
        <v>0</v>
      </c>
      <c r="Z11" s="21">
        <f t="shared" si="3"/>
        <v>0</v>
      </c>
      <c r="AA11" s="21">
        <f t="shared" si="3"/>
        <v>0</v>
      </c>
      <c r="AB11" s="21">
        <f t="shared" si="3"/>
        <v>0</v>
      </c>
      <c r="AC11" s="21">
        <f t="shared" si="3"/>
        <v>0</v>
      </c>
      <c r="AD11" s="22">
        <f>C11-D11</f>
        <v>2005.5</v>
      </c>
    </row>
    <row r="12" spans="1:60" s="26" customFormat="1" x14ac:dyDescent="0.2">
      <c r="A12" s="23"/>
      <c r="B12" s="24" t="s">
        <v>27</v>
      </c>
      <c r="C12" s="20"/>
      <c r="D12" s="20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2"/>
    </row>
    <row r="13" spans="1:60" s="26" customFormat="1" x14ac:dyDescent="0.2">
      <c r="A13" s="23" t="s">
        <v>28</v>
      </c>
      <c r="B13" s="24" t="s">
        <v>29</v>
      </c>
      <c r="C13" s="20">
        <f t="shared" ref="C13:D15" si="4">F13+H13+J13+L13+N13+P13+R13+T13+V13+X13+Z13+AB13</f>
        <v>4339.7000000000007</v>
      </c>
      <c r="D13" s="20">
        <f t="shared" si="4"/>
        <v>4337.9000000000005</v>
      </c>
      <c r="E13" s="20">
        <f>D13/C13%</f>
        <v>99.958522478512336</v>
      </c>
      <c r="F13" s="27">
        <v>711.7</v>
      </c>
      <c r="G13" s="27">
        <v>62</v>
      </c>
      <c r="H13" s="27">
        <v>579.9</v>
      </c>
      <c r="I13" s="27">
        <v>1126.0999999999999</v>
      </c>
      <c r="J13" s="27">
        <f>280.8+4.3</f>
        <v>285.10000000000002</v>
      </c>
      <c r="K13" s="27">
        <v>71.900000000000006</v>
      </c>
      <c r="L13" s="27">
        <v>514.5</v>
      </c>
      <c r="M13" s="27">
        <v>802.9</v>
      </c>
      <c r="N13" s="27">
        <v>456.3</v>
      </c>
      <c r="O13" s="27">
        <v>206.4</v>
      </c>
      <c r="P13" s="27">
        <v>410.3</v>
      </c>
      <c r="Q13" s="27">
        <v>669.9</v>
      </c>
      <c r="R13" s="27">
        <v>456.3</v>
      </c>
      <c r="S13" s="27">
        <v>452.4</v>
      </c>
      <c r="T13" s="27">
        <v>456.3</v>
      </c>
      <c r="U13" s="27">
        <v>449</v>
      </c>
      <c r="V13" s="27">
        <v>469.3</v>
      </c>
      <c r="W13" s="27">
        <f>454.2+43.1</f>
        <v>497.3</v>
      </c>
      <c r="X13" s="27"/>
      <c r="Y13" s="27"/>
      <c r="Z13" s="27"/>
      <c r="AA13" s="27"/>
      <c r="AB13" s="27"/>
      <c r="AC13" s="27"/>
      <c r="AD13" s="22">
        <f>C13-D13</f>
        <v>1.8000000000001819</v>
      </c>
    </row>
    <row r="14" spans="1:60" s="26" customFormat="1" x14ac:dyDescent="0.2">
      <c r="A14" s="23" t="s">
        <v>30</v>
      </c>
      <c r="B14" s="24" t="s">
        <v>31</v>
      </c>
      <c r="C14" s="20">
        <f t="shared" si="4"/>
        <v>3251.7</v>
      </c>
      <c r="D14" s="20">
        <f t="shared" si="4"/>
        <v>1880.5</v>
      </c>
      <c r="E14" s="20">
        <f>D14/C14%</f>
        <v>57.831288249223491</v>
      </c>
      <c r="F14" s="27">
        <v>2.4</v>
      </c>
      <c r="G14" s="27">
        <v>0.3</v>
      </c>
      <c r="H14" s="27">
        <v>41</v>
      </c>
      <c r="I14" s="27">
        <f>39.2+2.5</f>
        <v>41.7</v>
      </c>
      <c r="J14" s="27">
        <f>434.7+41.6</f>
        <v>476.3</v>
      </c>
      <c r="K14" s="27">
        <f>203.6+8.5</f>
        <v>212.1</v>
      </c>
      <c r="L14" s="27">
        <f>653.7-11.1</f>
        <v>642.6</v>
      </c>
      <c r="M14" s="27">
        <f>456.8+46.2</f>
        <v>503</v>
      </c>
      <c r="N14" s="27">
        <f>399.4-205</f>
        <v>194.39999999999998</v>
      </c>
      <c r="O14" s="27">
        <v>52.9</v>
      </c>
      <c r="P14" s="27">
        <v>140.30000000000001</v>
      </c>
      <c r="Q14" s="27">
        <f>409.2+6-277.5</f>
        <v>137.69999999999999</v>
      </c>
      <c r="R14" s="27">
        <v>523.4</v>
      </c>
      <c r="S14" s="27">
        <f>358.2+16.2</f>
        <v>374.4</v>
      </c>
      <c r="T14" s="27">
        <v>463.7</v>
      </c>
      <c r="U14" s="27">
        <f>177+46.8</f>
        <v>223.8</v>
      </c>
      <c r="V14" s="27">
        <f>670.7+96.9</f>
        <v>767.6</v>
      </c>
      <c r="W14" s="27">
        <f>464.3-138.2+8.5</f>
        <v>334.6</v>
      </c>
      <c r="X14" s="27"/>
      <c r="Y14" s="27"/>
      <c r="Z14" s="27"/>
      <c r="AA14" s="27"/>
      <c r="AB14" s="27"/>
      <c r="AC14" s="27"/>
      <c r="AD14" s="22">
        <f t="shared" ref="AD14:AD20" si="5">C14-D14</f>
        <v>1371.1999999999998</v>
      </c>
    </row>
    <row r="15" spans="1:60" s="26" customFormat="1" x14ac:dyDescent="0.2">
      <c r="A15" s="23" t="s">
        <v>32</v>
      </c>
      <c r="B15" s="24" t="s">
        <v>33</v>
      </c>
      <c r="C15" s="20">
        <f t="shared" si="4"/>
        <v>0</v>
      </c>
      <c r="D15" s="20">
        <f t="shared" si="4"/>
        <v>0</v>
      </c>
      <c r="E15" s="20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2">
        <f t="shared" si="5"/>
        <v>0</v>
      </c>
    </row>
    <row r="16" spans="1:60" s="26" customFormat="1" x14ac:dyDescent="0.2">
      <c r="A16" s="23" t="s">
        <v>34</v>
      </c>
      <c r="B16" s="24" t="s">
        <v>35</v>
      </c>
      <c r="C16" s="20">
        <f t="shared" si="1"/>
        <v>897.9</v>
      </c>
      <c r="D16" s="20">
        <f>G16+I16+K16+M16+O16+Q16+S16+U16+W16+Y16+AA16+AC16</f>
        <v>840.90000000000009</v>
      </c>
      <c r="E16" s="20">
        <f>D16/C16%</f>
        <v>93.651854326762461</v>
      </c>
      <c r="F16" s="27">
        <v>27.7</v>
      </c>
      <c r="G16" s="27"/>
      <c r="H16" s="27">
        <v>68.5</v>
      </c>
      <c r="I16" s="27">
        <v>93.6</v>
      </c>
      <c r="J16" s="27">
        <v>138.6</v>
      </c>
      <c r="K16" s="27">
        <v>117.7</v>
      </c>
      <c r="L16" s="27">
        <v>123</v>
      </c>
      <c r="M16" s="27">
        <v>5.3</v>
      </c>
      <c r="N16" s="27">
        <v>141.30000000000001</v>
      </c>
      <c r="O16" s="27">
        <v>78.900000000000006</v>
      </c>
      <c r="P16" s="27">
        <v>83.5</v>
      </c>
      <c r="Q16" s="27">
        <v>46.5</v>
      </c>
      <c r="R16" s="27">
        <v>141.1</v>
      </c>
      <c r="S16" s="27">
        <v>300</v>
      </c>
      <c r="T16" s="27">
        <v>111.4</v>
      </c>
      <c r="U16" s="27">
        <v>129.69999999999999</v>
      </c>
      <c r="V16" s="27">
        <f>62.8</f>
        <v>62.8</v>
      </c>
      <c r="W16" s="27">
        <v>69.2</v>
      </c>
      <c r="X16" s="27"/>
      <c r="Y16" s="27"/>
      <c r="Z16" s="27"/>
      <c r="AA16" s="27"/>
      <c r="AB16" s="27"/>
      <c r="AC16" s="27"/>
      <c r="AD16" s="22">
        <f t="shared" si="5"/>
        <v>56.999999999999886</v>
      </c>
    </row>
    <row r="17" spans="1:30" s="26" customFormat="1" x14ac:dyDescent="0.2">
      <c r="A17" s="23" t="s">
        <v>36</v>
      </c>
      <c r="B17" s="24" t="s">
        <v>37</v>
      </c>
      <c r="C17" s="20">
        <f t="shared" si="1"/>
        <v>2371.3000000000002</v>
      </c>
      <c r="D17" s="20">
        <f>G17+I17+K17+M17+O17+Q17+S17+U17+W17+Y17+AA17+AC17</f>
        <v>1795.8</v>
      </c>
      <c r="E17" s="20">
        <f t="shared" ref="E17:E18" si="6">D17/C17%</f>
        <v>75.730611900645215</v>
      </c>
      <c r="F17" s="27">
        <v>100</v>
      </c>
      <c r="G17" s="27"/>
      <c r="H17" s="27">
        <v>200</v>
      </c>
      <c r="I17" s="27">
        <f>292.6-2.5</f>
        <v>290.10000000000002</v>
      </c>
      <c r="J17" s="27">
        <v>150</v>
      </c>
      <c r="K17" s="28"/>
      <c r="L17" s="27">
        <v>700</v>
      </c>
      <c r="M17" s="27">
        <v>429.7</v>
      </c>
      <c r="N17" s="27">
        <v>313.89999999999998</v>
      </c>
      <c r="O17" s="27"/>
      <c r="P17" s="27">
        <v>61.7</v>
      </c>
      <c r="Q17" s="27">
        <f>528.3+277.5</f>
        <v>805.8</v>
      </c>
      <c r="R17" s="27">
        <v>150</v>
      </c>
      <c r="S17" s="27">
        <v>128.69999999999999</v>
      </c>
      <c r="T17" s="27">
        <v>695.7</v>
      </c>
      <c r="U17" s="27">
        <v>3.3</v>
      </c>
      <c r="V17" s="27"/>
      <c r="W17" s="27">
        <v>138.19999999999999</v>
      </c>
      <c r="X17" s="27"/>
      <c r="Y17" s="27"/>
      <c r="Z17" s="27"/>
      <c r="AA17" s="27"/>
      <c r="AB17" s="27"/>
      <c r="AC17" s="27"/>
      <c r="AD17" s="22">
        <f t="shared" si="5"/>
        <v>575.50000000000023</v>
      </c>
    </row>
    <row r="18" spans="1:30" s="26" customFormat="1" x14ac:dyDescent="0.2">
      <c r="A18" s="23" t="s">
        <v>38</v>
      </c>
      <c r="B18" s="24" t="s">
        <v>39</v>
      </c>
      <c r="C18" s="20">
        <f>F18+H18+J18+L18+N18+P18+R18+T18+V18+X18+Z18+AB18</f>
        <v>205</v>
      </c>
      <c r="D18" s="20">
        <f t="shared" si="1"/>
        <v>205</v>
      </c>
      <c r="E18" s="20">
        <f t="shared" si="6"/>
        <v>100.00000000000001</v>
      </c>
      <c r="F18" s="27"/>
      <c r="G18" s="27"/>
      <c r="H18" s="27"/>
      <c r="I18" s="27"/>
      <c r="J18" s="27"/>
      <c r="K18" s="27"/>
      <c r="L18" s="27"/>
      <c r="M18" s="27"/>
      <c r="N18" s="27">
        <v>205</v>
      </c>
      <c r="O18" s="27">
        <v>205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2">
        <f>C18-D18</f>
        <v>0</v>
      </c>
    </row>
    <row r="19" spans="1:30" s="26" customFormat="1" ht="19.5" customHeight="1" x14ac:dyDescent="0.2">
      <c r="A19" s="23" t="s">
        <v>40</v>
      </c>
      <c r="B19" s="24" t="s">
        <v>41</v>
      </c>
      <c r="C19" s="20">
        <f t="shared" si="1"/>
        <v>0</v>
      </c>
      <c r="D19" s="20">
        <f t="shared" si="1"/>
        <v>0</v>
      </c>
      <c r="E19" s="20"/>
      <c r="F19" s="27"/>
      <c r="G19" s="27"/>
      <c r="H19" s="27"/>
      <c r="I19" s="27"/>
      <c r="J19" s="27"/>
      <c r="K19" s="27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7"/>
      <c r="AD19" s="22">
        <f t="shared" si="5"/>
        <v>0</v>
      </c>
    </row>
    <row r="20" spans="1:30" s="26" customFormat="1" x14ac:dyDescent="0.2">
      <c r="A20" s="23" t="s">
        <v>42</v>
      </c>
      <c r="B20" s="24" t="s">
        <v>43</v>
      </c>
      <c r="C20" s="20">
        <f t="shared" si="1"/>
        <v>689.20000000000016</v>
      </c>
      <c r="D20" s="20">
        <f t="shared" si="1"/>
        <v>527.6</v>
      </c>
      <c r="E20" s="20">
        <f>D20/C20%</f>
        <v>76.552524666279737</v>
      </c>
      <c r="F20" s="21">
        <f>SUM(F22:F24)</f>
        <v>154</v>
      </c>
      <c r="G20" s="21">
        <f t="shared" ref="G20:T20" si="7">SUM(G22:G24)</f>
        <v>37.200000000000003</v>
      </c>
      <c r="H20" s="21">
        <f t="shared" si="7"/>
        <v>128</v>
      </c>
      <c r="I20" s="21">
        <f t="shared" si="7"/>
        <v>121.6</v>
      </c>
      <c r="J20" s="21">
        <f t="shared" si="7"/>
        <v>53.6</v>
      </c>
      <c r="K20" s="21">
        <f t="shared" si="7"/>
        <v>88.699999999999989</v>
      </c>
      <c r="L20" s="21">
        <f t="shared" si="7"/>
        <v>126.1</v>
      </c>
      <c r="M20" s="21">
        <f t="shared" si="7"/>
        <v>44.2</v>
      </c>
      <c r="N20" s="21">
        <f>SUM(N22:N24)</f>
        <v>46.1</v>
      </c>
      <c r="O20" s="21">
        <f>SUM(O22:O24)</f>
        <v>84.4</v>
      </c>
      <c r="P20" s="21">
        <f t="shared" si="7"/>
        <v>44.1</v>
      </c>
      <c r="Q20" s="21">
        <f t="shared" si="7"/>
        <v>32.799999999999997</v>
      </c>
      <c r="R20" s="21">
        <f t="shared" si="7"/>
        <v>49.1</v>
      </c>
      <c r="S20" s="21">
        <f t="shared" si="7"/>
        <v>10.799999999999999</v>
      </c>
      <c r="T20" s="21">
        <f t="shared" si="7"/>
        <v>44.1</v>
      </c>
      <c r="U20" s="21">
        <f>SUM(U22:U24)</f>
        <v>99.100000000000009</v>
      </c>
      <c r="V20" s="21">
        <f>SUM(V22:V24)</f>
        <v>44.1</v>
      </c>
      <c r="W20" s="21">
        <f>SUM(W22:W24)</f>
        <v>8.7999999999999989</v>
      </c>
      <c r="X20" s="21">
        <f t="shared" ref="X20:AC20" si="8">SUM(X22:X24)</f>
        <v>0</v>
      </c>
      <c r="Y20" s="21">
        <f t="shared" si="8"/>
        <v>0</v>
      </c>
      <c r="Z20" s="21">
        <f t="shared" si="8"/>
        <v>0</v>
      </c>
      <c r="AA20" s="21">
        <f t="shared" si="8"/>
        <v>0</v>
      </c>
      <c r="AB20" s="21">
        <f t="shared" si="8"/>
        <v>0</v>
      </c>
      <c r="AC20" s="21">
        <f t="shared" si="8"/>
        <v>0</v>
      </c>
      <c r="AD20" s="22">
        <f t="shared" si="5"/>
        <v>161.60000000000014</v>
      </c>
    </row>
    <row r="21" spans="1:30" s="26" customFormat="1" x14ac:dyDescent="0.2">
      <c r="A21" s="23"/>
      <c r="B21" s="24" t="s">
        <v>27</v>
      </c>
      <c r="C21" s="20"/>
      <c r="D21" s="20"/>
      <c r="E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2"/>
    </row>
    <row r="22" spans="1:30" s="31" customFormat="1" x14ac:dyDescent="0.3">
      <c r="A22" s="23" t="s">
        <v>44</v>
      </c>
      <c r="B22" s="30" t="s">
        <v>45</v>
      </c>
      <c r="C22" s="20">
        <f t="shared" si="1"/>
        <v>67.5</v>
      </c>
      <c r="D22" s="20">
        <f t="shared" si="1"/>
        <v>56.3</v>
      </c>
      <c r="E22" s="20">
        <f>D22/C22%</f>
        <v>83.407407407407405</v>
      </c>
      <c r="F22" s="27">
        <v>31</v>
      </c>
      <c r="G22" s="27">
        <v>14.5</v>
      </c>
      <c r="H22" s="27">
        <v>21</v>
      </c>
      <c r="I22" s="27">
        <v>16.8</v>
      </c>
      <c r="J22" s="27">
        <v>15.5</v>
      </c>
      <c r="K22" s="27">
        <v>15.1</v>
      </c>
      <c r="L22" s="27"/>
      <c r="M22" s="27"/>
      <c r="N22" s="27"/>
      <c r="O22" s="27">
        <v>9.9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2">
        <f>C22-D22</f>
        <v>11.200000000000003</v>
      </c>
    </row>
    <row r="23" spans="1:30" s="31" customFormat="1" x14ac:dyDescent="0.3">
      <c r="A23" s="23" t="s">
        <v>46</v>
      </c>
      <c r="B23" s="30" t="s">
        <v>47</v>
      </c>
      <c r="C23" s="20">
        <f t="shared" si="1"/>
        <v>425</v>
      </c>
      <c r="D23" s="20">
        <f t="shared" si="1"/>
        <v>311.60000000000002</v>
      </c>
      <c r="E23" s="20">
        <f>D23/C23%</f>
        <v>73.317647058823539</v>
      </c>
      <c r="F23" s="27">
        <v>109</v>
      </c>
      <c r="G23" s="27">
        <v>14.4</v>
      </c>
      <c r="H23" s="27">
        <v>93</v>
      </c>
      <c r="I23" s="27">
        <v>101.6</v>
      </c>
      <c r="J23" s="27">
        <f>9.2+14.8</f>
        <v>24</v>
      </c>
      <c r="K23" s="27">
        <v>63.5</v>
      </c>
      <c r="L23" s="27">
        <v>112</v>
      </c>
      <c r="M23" s="27">
        <f>39.6+4</f>
        <v>43.6</v>
      </c>
      <c r="N23" s="27">
        <v>19</v>
      </c>
      <c r="O23" s="27">
        <v>39.9</v>
      </c>
      <c r="P23" s="27">
        <v>17</v>
      </c>
      <c r="Q23" s="27">
        <v>18.600000000000001</v>
      </c>
      <c r="R23" s="27">
        <v>17</v>
      </c>
      <c r="S23" s="27">
        <f>10.7+0.1</f>
        <v>10.799999999999999</v>
      </c>
      <c r="T23" s="27">
        <v>17</v>
      </c>
      <c r="U23" s="27">
        <f>10.3+0.1</f>
        <v>10.4</v>
      </c>
      <c r="V23" s="27">
        <v>17</v>
      </c>
      <c r="W23" s="27">
        <f>8.7+0.1</f>
        <v>8.7999999999999989</v>
      </c>
      <c r="X23" s="27"/>
      <c r="Y23" s="27"/>
      <c r="Z23" s="27"/>
      <c r="AA23" s="27"/>
      <c r="AB23" s="27"/>
      <c r="AC23" s="27"/>
      <c r="AD23" s="22">
        <f>C23-D23</f>
        <v>113.39999999999998</v>
      </c>
    </row>
    <row r="24" spans="1:30" s="31" customFormat="1" x14ac:dyDescent="0.3">
      <c r="A24" s="23" t="s">
        <v>48</v>
      </c>
      <c r="B24" s="30" t="s">
        <v>49</v>
      </c>
      <c r="C24" s="20">
        <f t="shared" si="1"/>
        <v>196.7</v>
      </c>
      <c r="D24" s="20">
        <f t="shared" si="1"/>
        <v>159.69999999999999</v>
      </c>
      <c r="E24" s="20">
        <f>D24/C24%</f>
        <v>81.189628876461612</v>
      </c>
      <c r="F24" s="27">
        <v>14</v>
      </c>
      <c r="G24" s="27">
        <v>8.3000000000000007</v>
      </c>
      <c r="H24" s="27">
        <v>14</v>
      </c>
      <c r="I24" s="27">
        <v>3.2</v>
      </c>
      <c r="J24" s="27">
        <f>13.5+0.6</f>
        <v>14.1</v>
      </c>
      <c r="K24" s="27">
        <v>10.1</v>
      </c>
      <c r="L24" s="27">
        <v>14.1</v>
      </c>
      <c r="M24" s="27">
        <v>0.6</v>
      </c>
      <c r="N24" s="27">
        <v>27.1</v>
      </c>
      <c r="O24" s="27">
        <v>34.6</v>
      </c>
      <c r="P24" s="27">
        <v>27.1</v>
      </c>
      <c r="Q24" s="27">
        <v>14.2</v>
      </c>
      <c r="R24" s="27">
        <v>32.1</v>
      </c>
      <c r="S24" s="27"/>
      <c r="T24" s="27">
        <v>27.1</v>
      </c>
      <c r="U24" s="27">
        <v>88.7</v>
      </c>
      <c r="V24" s="27">
        <v>27.1</v>
      </c>
      <c r="W24" s="27"/>
      <c r="X24" s="27"/>
      <c r="Y24" s="27"/>
      <c r="Z24" s="27"/>
      <c r="AA24" s="27"/>
      <c r="AB24" s="27"/>
      <c r="AC24" s="27"/>
      <c r="AD24" s="22">
        <f>C24-D24</f>
        <v>37</v>
      </c>
    </row>
    <row r="25" spans="1:30" s="31" customFormat="1" x14ac:dyDescent="0.25">
      <c r="A25" s="23" t="s">
        <v>50</v>
      </c>
      <c r="B25" s="24" t="s">
        <v>51</v>
      </c>
      <c r="C25" s="20">
        <f>F25+H25+J25+L25+N25+P25+R25+T25+V25+X25+Z25+AB25</f>
        <v>1253.0999999999999</v>
      </c>
      <c r="D25" s="20">
        <f>G25+I25+K25+M25+O25+Q25+S25+U25+W25+Y25+AA25+AC25</f>
        <v>757</v>
      </c>
      <c r="E25" s="20">
        <f>D25/C25%</f>
        <v>60.410182746787974</v>
      </c>
      <c r="F25" s="21">
        <f t="shared" ref="F25:S25" si="9">SUM(F26:F42)</f>
        <v>92.3</v>
      </c>
      <c r="G25" s="21">
        <f t="shared" si="9"/>
        <v>35.799999999999997</v>
      </c>
      <c r="H25" s="21">
        <f t="shared" si="9"/>
        <v>54.099999999999994</v>
      </c>
      <c r="I25" s="21">
        <f t="shared" si="9"/>
        <v>64.699999999999989</v>
      </c>
      <c r="J25" s="21">
        <f t="shared" si="9"/>
        <v>216.9</v>
      </c>
      <c r="K25" s="21">
        <f t="shared" si="9"/>
        <v>40.199999999999996</v>
      </c>
      <c r="L25" s="21">
        <f t="shared" si="9"/>
        <v>208.2</v>
      </c>
      <c r="M25" s="21">
        <f t="shared" si="9"/>
        <v>75</v>
      </c>
      <c r="N25" s="21">
        <f t="shared" si="9"/>
        <v>66.400000000000006</v>
      </c>
      <c r="O25" s="21">
        <f t="shared" si="9"/>
        <v>55.4</v>
      </c>
      <c r="P25" s="21">
        <f t="shared" si="9"/>
        <v>165.99999999999997</v>
      </c>
      <c r="Q25" s="21">
        <f t="shared" si="9"/>
        <v>107.19999999999999</v>
      </c>
      <c r="R25" s="21">
        <f t="shared" si="9"/>
        <v>137.19999999999999</v>
      </c>
      <c r="S25" s="21">
        <f t="shared" si="9"/>
        <v>123</v>
      </c>
      <c r="T25" s="21">
        <f>SUM(T26:T42)</f>
        <v>174.7</v>
      </c>
      <c r="U25" s="21">
        <f t="shared" ref="U25:AC25" si="10">SUM(U26:U42)</f>
        <v>70.399999999999991</v>
      </c>
      <c r="V25" s="21">
        <f t="shared" si="10"/>
        <v>137.29999999999998</v>
      </c>
      <c r="W25" s="21">
        <f t="shared" si="10"/>
        <v>185.3</v>
      </c>
      <c r="X25" s="21">
        <f t="shared" si="10"/>
        <v>0</v>
      </c>
      <c r="Y25" s="21">
        <f t="shared" si="10"/>
        <v>0</v>
      </c>
      <c r="Z25" s="21">
        <f t="shared" si="10"/>
        <v>0</v>
      </c>
      <c r="AA25" s="21">
        <f t="shared" si="10"/>
        <v>0</v>
      </c>
      <c r="AB25" s="21">
        <f t="shared" si="10"/>
        <v>0</v>
      </c>
      <c r="AC25" s="21">
        <f t="shared" si="10"/>
        <v>0</v>
      </c>
      <c r="AD25" s="22">
        <f>C25-D25</f>
        <v>496.09999999999991</v>
      </c>
    </row>
    <row r="26" spans="1:30" s="31" customFormat="1" x14ac:dyDescent="0.25">
      <c r="A26" s="23"/>
      <c r="B26" s="24" t="s">
        <v>27</v>
      </c>
      <c r="C26" s="20"/>
      <c r="D26" s="20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2"/>
    </row>
    <row r="27" spans="1:30" s="31" customFormat="1" x14ac:dyDescent="0.25">
      <c r="A27" s="23" t="s">
        <v>52</v>
      </c>
      <c r="B27" s="24" t="s">
        <v>53</v>
      </c>
      <c r="C27" s="20">
        <f>F27+H27+J27+L27+N27+P27+R27+T27+V27+X27+Z27+AB27</f>
        <v>102.9</v>
      </c>
      <c r="D27" s="20">
        <f>G27+I27+K27+M27+O27+Q27+S27+U27+W27+Y27+AA27+AC27</f>
        <v>47.9</v>
      </c>
      <c r="E27" s="20">
        <f>D27/C27%</f>
        <v>46.550048590864911</v>
      </c>
      <c r="F27" s="27"/>
      <c r="G27" s="27"/>
      <c r="H27" s="27">
        <v>4.5</v>
      </c>
      <c r="I27" s="27"/>
      <c r="J27" s="27">
        <v>20.399999999999999</v>
      </c>
      <c r="K27" s="27"/>
      <c r="L27" s="27">
        <v>40</v>
      </c>
      <c r="M27" s="27"/>
      <c r="N27" s="27">
        <v>20</v>
      </c>
      <c r="O27" s="27"/>
      <c r="P27" s="27">
        <v>4.5</v>
      </c>
      <c r="Q27" s="27"/>
      <c r="R27" s="27">
        <v>4.5</v>
      </c>
      <c r="S27" s="27"/>
      <c r="T27" s="27">
        <v>4.5</v>
      </c>
      <c r="U27" s="27"/>
      <c r="V27" s="27">
        <v>4.5</v>
      </c>
      <c r="W27" s="27">
        <v>47.9</v>
      </c>
      <c r="X27" s="27"/>
      <c r="Y27" s="27"/>
      <c r="Z27" s="27"/>
      <c r="AA27" s="27"/>
      <c r="AB27" s="27"/>
      <c r="AC27" s="27"/>
      <c r="AD27" s="22">
        <f>C27-D27</f>
        <v>55.000000000000007</v>
      </c>
    </row>
    <row r="28" spans="1:30" s="31" customFormat="1" x14ac:dyDescent="0.25">
      <c r="A28" s="23" t="s">
        <v>54</v>
      </c>
      <c r="B28" s="24" t="s">
        <v>55</v>
      </c>
      <c r="C28" s="20">
        <f>F28+H28+J28+L28+N28+P28+R28+T28+V28+X28+Z28+AB28</f>
        <v>115.70000000000002</v>
      </c>
      <c r="D28" s="20">
        <f>G28+I28+K28+M28+O28+Q28+S28+U28+W28+Y28+AA28+AC28</f>
        <v>88.5</v>
      </c>
      <c r="E28" s="20">
        <f>D28/C28%</f>
        <v>76.490924805531535</v>
      </c>
      <c r="F28" s="27">
        <v>14.9</v>
      </c>
      <c r="G28" s="27"/>
      <c r="H28" s="27">
        <v>14.8</v>
      </c>
      <c r="I28" s="27">
        <v>12.9</v>
      </c>
      <c r="J28" s="27">
        <v>20.5</v>
      </c>
      <c r="K28" s="27">
        <v>0.6</v>
      </c>
      <c r="L28" s="27">
        <v>10.9</v>
      </c>
      <c r="M28" s="27">
        <v>12.9</v>
      </c>
      <c r="N28" s="27">
        <v>10.9</v>
      </c>
      <c r="O28" s="27">
        <v>19.100000000000001</v>
      </c>
      <c r="P28" s="27">
        <v>10.9</v>
      </c>
      <c r="Q28" s="27">
        <v>6.1</v>
      </c>
      <c r="R28" s="27">
        <v>10.9</v>
      </c>
      <c r="S28" s="27">
        <v>12.3</v>
      </c>
      <c r="T28" s="27">
        <v>11</v>
      </c>
      <c r="U28" s="27">
        <v>12.3</v>
      </c>
      <c r="V28" s="27">
        <v>10.9</v>
      </c>
      <c r="W28" s="27">
        <v>12.3</v>
      </c>
      <c r="X28" s="27"/>
      <c r="Y28" s="27"/>
      <c r="Z28" s="27"/>
      <c r="AA28" s="27"/>
      <c r="AB28" s="27"/>
      <c r="AC28" s="27"/>
      <c r="AD28" s="22">
        <f>C28-D28</f>
        <v>27.200000000000017</v>
      </c>
    </row>
    <row r="29" spans="1:30" s="31" customFormat="1" x14ac:dyDescent="0.25">
      <c r="A29" s="23" t="s">
        <v>56</v>
      </c>
      <c r="B29" s="24" t="s">
        <v>57</v>
      </c>
      <c r="C29" s="20">
        <f t="shared" si="1"/>
        <v>310</v>
      </c>
      <c r="D29" s="20">
        <f t="shared" si="1"/>
        <v>96.7</v>
      </c>
      <c r="E29" s="20">
        <f>D29/C29%</f>
        <v>31.193548387096776</v>
      </c>
      <c r="F29" s="27">
        <v>15</v>
      </c>
      <c r="G29" s="27"/>
      <c r="H29" s="27">
        <v>20</v>
      </c>
      <c r="I29" s="27">
        <v>34.5</v>
      </c>
      <c r="J29" s="27">
        <v>58</v>
      </c>
      <c r="K29" s="27"/>
      <c r="L29" s="27"/>
      <c r="M29" s="27">
        <v>1</v>
      </c>
      <c r="N29" s="27"/>
      <c r="O29" s="27">
        <v>2.2000000000000002</v>
      </c>
      <c r="P29" s="27">
        <v>24</v>
      </c>
      <c r="Q29" s="27">
        <v>14.1</v>
      </c>
      <c r="R29" s="27">
        <v>55</v>
      </c>
      <c r="S29" s="27">
        <v>28.9</v>
      </c>
      <c r="T29" s="27">
        <v>93</v>
      </c>
      <c r="U29" s="27">
        <v>16</v>
      </c>
      <c r="V29" s="27">
        <v>45</v>
      </c>
      <c r="W29" s="27"/>
      <c r="X29" s="27"/>
      <c r="Y29" s="27"/>
      <c r="Z29" s="27"/>
      <c r="AA29" s="27"/>
      <c r="AB29" s="27"/>
      <c r="AC29" s="27"/>
      <c r="AD29" s="22">
        <f t="shared" ref="AD29:AD43" si="11">C29-D29</f>
        <v>213.3</v>
      </c>
    </row>
    <row r="30" spans="1:30" s="31" customFormat="1" ht="18.75" customHeight="1" x14ac:dyDescent="0.25">
      <c r="A30" s="23" t="s">
        <v>58</v>
      </c>
      <c r="B30" s="24" t="s">
        <v>59</v>
      </c>
      <c r="C30" s="20">
        <f t="shared" si="1"/>
        <v>43.199999999999996</v>
      </c>
      <c r="D30" s="20">
        <f t="shared" si="1"/>
        <v>39.6</v>
      </c>
      <c r="E30" s="20">
        <f t="shared" ref="E30:E43" si="12">D30/C30%</f>
        <v>91.666666666666686</v>
      </c>
      <c r="F30" s="27">
        <v>4.8</v>
      </c>
      <c r="G30" s="27"/>
      <c r="H30" s="27">
        <v>4.8</v>
      </c>
      <c r="I30" s="27">
        <v>4.8</v>
      </c>
      <c r="J30" s="27">
        <v>4.8</v>
      </c>
      <c r="K30" s="27">
        <v>4.8</v>
      </c>
      <c r="L30" s="27">
        <v>4.8</v>
      </c>
      <c r="M30" s="27">
        <v>5</v>
      </c>
      <c r="N30" s="27">
        <v>4.8</v>
      </c>
      <c r="O30" s="27">
        <v>5</v>
      </c>
      <c r="P30" s="27">
        <v>4.8</v>
      </c>
      <c r="Q30" s="27">
        <v>5</v>
      </c>
      <c r="R30" s="27">
        <v>4.8</v>
      </c>
      <c r="S30" s="27">
        <v>5</v>
      </c>
      <c r="T30" s="27">
        <v>4.8</v>
      </c>
      <c r="U30" s="27">
        <v>5</v>
      </c>
      <c r="V30" s="27">
        <v>4.8</v>
      </c>
      <c r="W30" s="27">
        <v>5</v>
      </c>
      <c r="X30" s="27"/>
      <c r="Y30" s="27"/>
      <c r="Z30" s="27"/>
      <c r="AA30" s="27"/>
      <c r="AB30" s="27"/>
      <c r="AC30" s="27"/>
      <c r="AD30" s="22">
        <f t="shared" si="11"/>
        <v>3.5999999999999943</v>
      </c>
    </row>
    <row r="31" spans="1:30" s="31" customFormat="1" ht="20.25" customHeight="1" x14ac:dyDescent="0.25">
      <c r="A31" s="23" t="s">
        <v>60</v>
      </c>
      <c r="B31" s="24" t="s">
        <v>61</v>
      </c>
      <c r="C31" s="20">
        <f t="shared" si="1"/>
        <v>57.5</v>
      </c>
      <c r="D31" s="20">
        <f t="shared" si="1"/>
        <v>48.300000000000004</v>
      </c>
      <c r="E31" s="20">
        <f t="shared" si="12"/>
        <v>84.000000000000014</v>
      </c>
      <c r="F31" s="27">
        <v>10</v>
      </c>
      <c r="G31" s="27"/>
      <c r="H31" s="27">
        <v>10</v>
      </c>
      <c r="I31" s="27">
        <v>12.4</v>
      </c>
      <c r="J31" s="27">
        <v>10</v>
      </c>
      <c r="K31" s="27">
        <v>12.2</v>
      </c>
      <c r="L31" s="27">
        <v>10</v>
      </c>
      <c r="M31" s="27">
        <v>6.1</v>
      </c>
      <c r="N31" s="27">
        <v>3.5</v>
      </c>
      <c r="O31" s="27">
        <v>3.4</v>
      </c>
      <c r="P31" s="27">
        <v>3.5</v>
      </c>
      <c r="Q31" s="27"/>
      <c r="R31" s="27">
        <v>3.5</v>
      </c>
      <c r="S31" s="27">
        <v>5.5</v>
      </c>
      <c r="T31" s="27">
        <v>3.5</v>
      </c>
      <c r="U31" s="27">
        <v>4.5</v>
      </c>
      <c r="V31" s="27">
        <v>3.5</v>
      </c>
      <c r="W31" s="27">
        <v>4.2</v>
      </c>
      <c r="X31" s="27"/>
      <c r="Y31" s="27"/>
      <c r="Z31" s="27"/>
      <c r="AA31" s="27"/>
      <c r="AB31" s="27"/>
      <c r="AC31" s="27"/>
      <c r="AD31" s="22">
        <f t="shared" si="11"/>
        <v>9.1999999999999957</v>
      </c>
    </row>
    <row r="32" spans="1:30" s="31" customFormat="1" ht="22.5" customHeight="1" x14ac:dyDescent="0.25">
      <c r="A32" s="23" t="s">
        <v>62</v>
      </c>
      <c r="B32" s="24" t="s">
        <v>63</v>
      </c>
      <c r="C32" s="20">
        <f t="shared" si="1"/>
        <v>21</v>
      </c>
      <c r="D32" s="20">
        <f t="shared" si="1"/>
        <v>19</v>
      </c>
      <c r="E32" s="20">
        <f t="shared" si="12"/>
        <v>90.476190476190482</v>
      </c>
      <c r="F32" s="27">
        <v>7</v>
      </c>
      <c r="G32" s="27"/>
      <c r="H32" s="27"/>
      <c r="I32" s="27"/>
      <c r="J32" s="27"/>
      <c r="K32" s="27"/>
      <c r="L32" s="27">
        <v>7</v>
      </c>
      <c r="M32" s="27"/>
      <c r="N32" s="27"/>
      <c r="O32" s="27"/>
      <c r="P32" s="28"/>
      <c r="Q32" s="28"/>
      <c r="R32" s="27">
        <v>7</v>
      </c>
      <c r="S32" s="28"/>
      <c r="T32" s="28"/>
      <c r="U32" s="27"/>
      <c r="V32" s="27"/>
      <c r="W32" s="27">
        <v>19</v>
      </c>
      <c r="X32" s="27"/>
      <c r="Y32" s="27"/>
      <c r="Z32" s="27"/>
      <c r="AA32" s="27"/>
      <c r="AB32" s="27"/>
      <c r="AC32" s="27"/>
      <c r="AD32" s="22">
        <f t="shared" si="11"/>
        <v>2</v>
      </c>
    </row>
    <row r="33" spans="1:30" s="31" customFormat="1" ht="19.5" customHeight="1" x14ac:dyDescent="0.25">
      <c r="A33" s="23" t="s">
        <v>64</v>
      </c>
      <c r="B33" s="24" t="s">
        <v>65</v>
      </c>
      <c r="C33" s="20">
        <f t="shared" si="1"/>
        <v>0</v>
      </c>
      <c r="D33" s="20">
        <f t="shared" si="1"/>
        <v>0</v>
      </c>
      <c r="E33" s="20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2">
        <f t="shared" si="11"/>
        <v>0</v>
      </c>
    </row>
    <row r="34" spans="1:30" s="31" customFormat="1" ht="19.5" customHeight="1" x14ac:dyDescent="0.25">
      <c r="A34" s="23" t="s">
        <v>66</v>
      </c>
      <c r="B34" s="24" t="s">
        <v>67</v>
      </c>
      <c r="C34" s="20">
        <f t="shared" si="1"/>
        <v>53.4</v>
      </c>
      <c r="D34" s="20">
        <f t="shared" si="1"/>
        <v>53.3</v>
      </c>
      <c r="E34" s="20">
        <f t="shared" si="12"/>
        <v>99.812734082396986</v>
      </c>
      <c r="F34" s="27"/>
      <c r="G34" s="27"/>
      <c r="H34" s="27"/>
      <c r="I34" s="27"/>
      <c r="J34" s="27"/>
      <c r="K34" s="27"/>
      <c r="L34" s="27"/>
      <c r="M34" s="27"/>
      <c r="N34" s="27">
        <v>8.8000000000000007</v>
      </c>
      <c r="O34" s="27"/>
      <c r="P34" s="27">
        <v>7</v>
      </c>
      <c r="Q34" s="27">
        <v>14.1</v>
      </c>
      <c r="R34" s="27">
        <v>27</v>
      </c>
      <c r="S34" s="27">
        <v>10.6</v>
      </c>
      <c r="T34" s="27">
        <v>7</v>
      </c>
      <c r="U34" s="27">
        <v>21.8</v>
      </c>
      <c r="V34" s="27">
        <v>3.6</v>
      </c>
      <c r="W34" s="27">
        <v>6.8</v>
      </c>
      <c r="X34" s="27"/>
      <c r="Y34" s="27"/>
      <c r="Z34" s="27"/>
      <c r="AA34" s="27"/>
      <c r="AB34" s="27"/>
      <c r="AC34" s="27"/>
      <c r="AD34" s="22">
        <f t="shared" si="11"/>
        <v>0.10000000000000142</v>
      </c>
    </row>
    <row r="35" spans="1:30" s="31" customFormat="1" ht="19.5" customHeight="1" x14ac:dyDescent="0.25">
      <c r="A35" s="23" t="s">
        <v>68</v>
      </c>
      <c r="B35" s="24" t="s">
        <v>69</v>
      </c>
      <c r="C35" s="20">
        <f t="shared" si="1"/>
        <v>35.799999999999997</v>
      </c>
      <c r="D35" s="20">
        <f t="shared" si="1"/>
        <v>35.799999999999997</v>
      </c>
      <c r="E35" s="20">
        <f t="shared" si="12"/>
        <v>100</v>
      </c>
      <c r="F35" s="27">
        <v>35.799999999999997</v>
      </c>
      <c r="G35" s="27">
        <v>35.799999999999997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8"/>
      <c r="T35" s="28"/>
      <c r="U35" s="27"/>
      <c r="V35" s="27"/>
      <c r="W35" s="27"/>
      <c r="X35" s="27"/>
      <c r="Y35" s="27"/>
      <c r="Z35" s="27"/>
      <c r="AA35" s="27"/>
      <c r="AB35" s="27"/>
      <c r="AC35" s="27"/>
      <c r="AD35" s="22">
        <f t="shared" si="11"/>
        <v>0</v>
      </c>
    </row>
    <row r="36" spans="1:30" s="31" customFormat="1" ht="19.5" customHeight="1" x14ac:dyDescent="0.25">
      <c r="A36" s="23" t="s">
        <v>70</v>
      </c>
      <c r="B36" s="24" t="s">
        <v>71</v>
      </c>
      <c r="C36" s="20">
        <f t="shared" si="1"/>
        <v>111.9</v>
      </c>
      <c r="D36" s="20">
        <f t="shared" si="1"/>
        <v>2.2000000000000002</v>
      </c>
      <c r="E36" s="20">
        <f t="shared" si="12"/>
        <v>1.9660411081322611</v>
      </c>
      <c r="F36" s="27"/>
      <c r="G36" s="27"/>
      <c r="H36" s="27"/>
      <c r="I36" s="27"/>
      <c r="J36" s="27"/>
      <c r="K36" s="27"/>
      <c r="L36" s="27">
        <v>111.9</v>
      </c>
      <c r="M36" s="27"/>
      <c r="N36" s="27"/>
      <c r="O36" s="27"/>
      <c r="P36" s="27"/>
      <c r="Q36" s="27"/>
      <c r="R36" s="27"/>
      <c r="S36" s="27">
        <v>2.2000000000000002</v>
      </c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2">
        <f t="shared" si="11"/>
        <v>109.7</v>
      </c>
    </row>
    <row r="37" spans="1:30" s="31" customFormat="1" ht="19.5" customHeight="1" x14ac:dyDescent="0.25">
      <c r="A37" s="23" t="s">
        <v>72</v>
      </c>
      <c r="B37" s="24" t="s">
        <v>73</v>
      </c>
      <c r="C37" s="20">
        <f t="shared" si="1"/>
        <v>194</v>
      </c>
      <c r="D37" s="20">
        <f t="shared" si="1"/>
        <v>194</v>
      </c>
      <c r="E37" s="20">
        <f t="shared" si="12"/>
        <v>100</v>
      </c>
      <c r="F37" s="27"/>
      <c r="G37" s="27"/>
      <c r="H37" s="27"/>
      <c r="I37" s="27"/>
      <c r="J37" s="27">
        <v>50</v>
      </c>
      <c r="K37" s="27"/>
      <c r="L37" s="27"/>
      <c r="M37" s="27">
        <v>50</v>
      </c>
      <c r="N37" s="27"/>
      <c r="O37" s="27"/>
      <c r="P37" s="27">
        <v>95</v>
      </c>
      <c r="Q37" s="27">
        <v>46</v>
      </c>
      <c r="R37" s="27"/>
      <c r="S37" s="27">
        <v>49</v>
      </c>
      <c r="T37" s="27"/>
      <c r="U37" s="27"/>
      <c r="V37" s="27">
        <v>49</v>
      </c>
      <c r="W37" s="27">
        <v>49</v>
      </c>
      <c r="X37" s="27"/>
      <c r="Y37" s="27"/>
      <c r="Z37" s="27"/>
      <c r="AA37" s="27"/>
      <c r="AB37" s="27"/>
      <c r="AC37" s="27"/>
      <c r="AD37" s="22">
        <f t="shared" si="11"/>
        <v>0</v>
      </c>
    </row>
    <row r="38" spans="1:30" s="31" customFormat="1" ht="19.5" customHeight="1" x14ac:dyDescent="0.25">
      <c r="A38" s="23" t="s">
        <v>74</v>
      </c>
      <c r="B38" s="24" t="s">
        <v>75</v>
      </c>
      <c r="C38" s="20">
        <f t="shared" si="1"/>
        <v>18</v>
      </c>
      <c r="D38" s="20">
        <f t="shared" si="1"/>
        <v>8.1</v>
      </c>
      <c r="E38" s="20">
        <f t="shared" si="12"/>
        <v>45</v>
      </c>
      <c r="F38" s="27"/>
      <c r="G38" s="27"/>
      <c r="H38" s="27"/>
      <c r="I38" s="27"/>
      <c r="J38" s="27">
        <v>9</v>
      </c>
      <c r="K38" s="27">
        <v>8.1</v>
      </c>
      <c r="L38" s="27">
        <v>5</v>
      </c>
      <c r="M38" s="27"/>
      <c r="N38" s="27"/>
      <c r="O38" s="27"/>
      <c r="P38" s="27">
        <v>4</v>
      </c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2">
        <f t="shared" si="11"/>
        <v>9.9</v>
      </c>
    </row>
    <row r="39" spans="1:30" s="31" customFormat="1" ht="19.5" customHeight="1" x14ac:dyDescent="0.25">
      <c r="A39" s="23" t="s">
        <v>76</v>
      </c>
      <c r="B39" s="24" t="s">
        <v>77</v>
      </c>
      <c r="C39" s="20">
        <f t="shared" si="1"/>
        <v>42.599999999999994</v>
      </c>
      <c r="D39" s="20">
        <f t="shared" si="1"/>
        <v>17.899999999999999</v>
      </c>
      <c r="E39" s="20">
        <f t="shared" si="12"/>
        <v>42.018779342723008</v>
      </c>
      <c r="F39" s="27"/>
      <c r="G39" s="27"/>
      <c r="H39" s="27"/>
      <c r="I39" s="27"/>
      <c r="J39" s="27"/>
      <c r="K39" s="27"/>
      <c r="L39" s="27">
        <v>1.5</v>
      </c>
      <c r="M39" s="27"/>
      <c r="N39" s="27">
        <v>13.7</v>
      </c>
      <c r="O39" s="27"/>
      <c r="P39" s="43">
        <v>7.6</v>
      </c>
      <c r="Q39" s="27">
        <v>17.899999999999999</v>
      </c>
      <c r="R39" s="27">
        <v>19.8</v>
      </c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2">
        <f>C39-D39</f>
        <v>24.699999999999996</v>
      </c>
    </row>
    <row r="40" spans="1:30" s="31" customFormat="1" ht="19.5" customHeight="1" x14ac:dyDescent="0.25">
      <c r="A40" s="23" t="s">
        <v>78</v>
      </c>
      <c r="B40" s="24" t="s">
        <v>79</v>
      </c>
      <c r="C40" s="20">
        <f t="shared" si="1"/>
        <v>36.1</v>
      </c>
      <c r="D40" s="20">
        <f t="shared" si="1"/>
        <v>25.7</v>
      </c>
      <c r="E40" s="20">
        <f t="shared" si="12"/>
        <v>71.19113573407202</v>
      </c>
      <c r="F40" s="27"/>
      <c r="G40" s="27"/>
      <c r="H40" s="27"/>
      <c r="I40" s="27"/>
      <c r="J40" s="27">
        <v>15.8</v>
      </c>
      <c r="K40" s="27"/>
      <c r="L40" s="27">
        <v>12.4</v>
      </c>
      <c r="M40" s="27"/>
      <c r="N40" s="27"/>
      <c r="O40" s="27">
        <v>25.7</v>
      </c>
      <c r="P40" s="43"/>
      <c r="Q40" s="27"/>
      <c r="R40" s="27"/>
      <c r="S40" s="27"/>
      <c r="T40" s="27"/>
      <c r="U40" s="27"/>
      <c r="V40" s="27">
        <v>7.9</v>
      </c>
      <c r="W40" s="27"/>
      <c r="X40" s="27"/>
      <c r="Y40" s="27"/>
      <c r="Z40" s="27"/>
      <c r="AA40" s="27"/>
      <c r="AB40" s="27"/>
      <c r="AC40" s="27"/>
      <c r="AD40" s="22">
        <f t="shared" ref="AD40:AD42" si="13">C40-D40</f>
        <v>10.400000000000002</v>
      </c>
    </row>
    <row r="41" spans="1:30" s="31" customFormat="1" ht="19.5" customHeight="1" x14ac:dyDescent="0.25">
      <c r="A41" s="23" t="s">
        <v>80</v>
      </c>
      <c r="B41" s="24" t="s">
        <v>81</v>
      </c>
      <c r="C41" s="20">
        <f t="shared" si="1"/>
        <v>73.8</v>
      </c>
      <c r="D41" s="20">
        <f t="shared" si="1"/>
        <v>42.800000000000004</v>
      </c>
      <c r="E41" s="20">
        <f t="shared" si="12"/>
        <v>57.994579945799465</v>
      </c>
      <c r="F41" s="27">
        <v>4.8</v>
      </c>
      <c r="G41" s="27"/>
      <c r="H41" s="27"/>
      <c r="I41" s="27">
        <v>0.1</v>
      </c>
      <c r="J41" s="27">
        <v>28.4</v>
      </c>
      <c r="K41" s="27">
        <v>14.5</v>
      </c>
      <c r="L41" s="27">
        <v>4.7</v>
      </c>
      <c r="M41" s="27"/>
      <c r="N41" s="27">
        <v>4.7</v>
      </c>
      <c r="O41" s="27"/>
      <c r="P41" s="43">
        <v>4.7</v>
      </c>
      <c r="Q41" s="27">
        <v>4</v>
      </c>
      <c r="R41" s="27">
        <v>4.7</v>
      </c>
      <c r="S41" s="27">
        <v>9.5</v>
      </c>
      <c r="T41" s="27">
        <v>13.7</v>
      </c>
      <c r="U41" s="27">
        <f>8+2.8</f>
        <v>10.8</v>
      </c>
      <c r="V41" s="27">
        <v>8.1</v>
      </c>
      <c r="W41" s="27">
        <f>22.9-19</f>
        <v>3.8999999999999986</v>
      </c>
      <c r="X41" s="27"/>
      <c r="Y41" s="27"/>
      <c r="Z41" s="27"/>
      <c r="AA41" s="27"/>
      <c r="AB41" s="27"/>
      <c r="AC41" s="27"/>
      <c r="AD41" s="22">
        <f t="shared" si="13"/>
        <v>30.999999999999993</v>
      </c>
    </row>
    <row r="42" spans="1:30" s="31" customFormat="1" ht="19.5" customHeight="1" x14ac:dyDescent="0.25">
      <c r="A42" s="23" t="s">
        <v>82</v>
      </c>
      <c r="B42" s="24" t="s">
        <v>83</v>
      </c>
      <c r="C42" s="20">
        <f t="shared" si="1"/>
        <v>37.200000000000003</v>
      </c>
      <c r="D42" s="20">
        <f t="shared" si="1"/>
        <v>37.200000000000003</v>
      </c>
      <c r="E42" s="20">
        <f>D42/C42%</f>
        <v>100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43"/>
      <c r="Q42" s="27"/>
      <c r="R42" s="27"/>
      <c r="S42" s="27"/>
      <c r="T42" s="27">
        <v>37.200000000000003</v>
      </c>
      <c r="U42" s="27"/>
      <c r="V42" s="27"/>
      <c r="W42" s="27">
        <v>37.200000000000003</v>
      </c>
      <c r="X42" s="27"/>
      <c r="Y42" s="27"/>
      <c r="Z42" s="27"/>
      <c r="AA42" s="27"/>
      <c r="AB42" s="27"/>
      <c r="AC42" s="27"/>
      <c r="AD42" s="22">
        <f t="shared" si="13"/>
        <v>0</v>
      </c>
    </row>
    <row r="43" spans="1:30" s="31" customFormat="1" x14ac:dyDescent="0.25">
      <c r="A43" s="23" t="s">
        <v>84</v>
      </c>
      <c r="B43" s="24" t="s">
        <v>85</v>
      </c>
      <c r="C43" s="20">
        <f t="shared" si="1"/>
        <v>3197.1000000000004</v>
      </c>
      <c r="D43" s="20">
        <f t="shared" si="1"/>
        <v>3167.2</v>
      </c>
      <c r="E43" s="20">
        <f t="shared" si="12"/>
        <v>99.064777454568187</v>
      </c>
      <c r="F43" s="21">
        <f>SUM(F44:F46)</f>
        <v>365.9</v>
      </c>
      <c r="G43" s="21">
        <f t="shared" ref="G43:AC43" si="14">SUM(G44:G46)</f>
        <v>314</v>
      </c>
      <c r="H43" s="21">
        <f t="shared" si="14"/>
        <v>365.9</v>
      </c>
      <c r="I43" s="21">
        <f t="shared" si="14"/>
        <v>365</v>
      </c>
      <c r="J43" s="21">
        <f t="shared" si="14"/>
        <v>365.40000000000003</v>
      </c>
      <c r="K43" s="21">
        <f t="shared" si="14"/>
        <v>415</v>
      </c>
      <c r="L43" s="21">
        <f t="shared" si="14"/>
        <v>320.7</v>
      </c>
      <c r="M43" s="21">
        <f t="shared" si="14"/>
        <v>309.89999999999998</v>
      </c>
      <c r="N43" s="21">
        <f t="shared" si="14"/>
        <v>347.4</v>
      </c>
      <c r="O43" s="21">
        <f t="shared" si="14"/>
        <v>324.10000000000002</v>
      </c>
      <c r="P43" s="21">
        <f t="shared" si="14"/>
        <v>345.3</v>
      </c>
      <c r="Q43" s="21">
        <f t="shared" si="14"/>
        <v>324.10000000000002</v>
      </c>
      <c r="R43" s="21">
        <f t="shared" si="14"/>
        <v>361.6</v>
      </c>
      <c r="S43" s="21">
        <f t="shared" si="14"/>
        <v>340</v>
      </c>
      <c r="T43" s="21">
        <f t="shared" si="14"/>
        <v>362.3</v>
      </c>
      <c r="U43" s="21">
        <f t="shared" si="14"/>
        <v>421</v>
      </c>
      <c r="V43" s="21">
        <f t="shared" si="14"/>
        <v>362.6</v>
      </c>
      <c r="W43" s="21">
        <f t="shared" si="14"/>
        <v>354.1</v>
      </c>
      <c r="X43" s="21">
        <f t="shared" si="14"/>
        <v>0</v>
      </c>
      <c r="Y43" s="21">
        <f t="shared" si="14"/>
        <v>0</v>
      </c>
      <c r="Z43" s="21">
        <f t="shared" si="14"/>
        <v>0</v>
      </c>
      <c r="AA43" s="21">
        <f t="shared" si="14"/>
        <v>0</v>
      </c>
      <c r="AB43" s="21">
        <f t="shared" si="14"/>
        <v>0</v>
      </c>
      <c r="AC43" s="21">
        <f t="shared" si="14"/>
        <v>0</v>
      </c>
      <c r="AD43" s="22">
        <f t="shared" si="11"/>
        <v>29.900000000000546</v>
      </c>
    </row>
    <row r="44" spans="1:30" s="31" customFormat="1" x14ac:dyDescent="0.25">
      <c r="A44" s="23"/>
      <c r="B44" s="24" t="s">
        <v>18</v>
      </c>
      <c r="C44" s="20"/>
      <c r="D44" s="20"/>
      <c r="E44" s="20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2"/>
    </row>
    <row r="45" spans="1:30" s="31" customFormat="1" x14ac:dyDescent="0.25">
      <c r="A45" s="23" t="s">
        <v>86</v>
      </c>
      <c r="B45" s="24" t="s">
        <v>87</v>
      </c>
      <c r="C45" s="20">
        <f t="shared" si="1"/>
        <v>3197.1000000000004</v>
      </c>
      <c r="D45" s="20">
        <f t="shared" si="1"/>
        <v>3167.2</v>
      </c>
      <c r="E45" s="20">
        <f>D45/C45%</f>
        <v>99.064777454568187</v>
      </c>
      <c r="F45" s="27">
        <v>365.9</v>
      </c>
      <c r="G45" s="27">
        <v>314</v>
      </c>
      <c r="H45" s="27">
        <v>365.9</v>
      </c>
      <c r="I45" s="27">
        <v>365</v>
      </c>
      <c r="J45" s="27">
        <f>357.3+8.1</f>
        <v>365.40000000000003</v>
      </c>
      <c r="K45" s="27">
        <f>409.9+5.1</f>
        <v>415</v>
      </c>
      <c r="L45" s="27">
        <v>320.7</v>
      </c>
      <c r="M45" s="27">
        <f>300+9.9</f>
        <v>309.89999999999998</v>
      </c>
      <c r="N45" s="27">
        <v>347.4</v>
      </c>
      <c r="O45" s="27">
        <f>320+4.1</f>
        <v>324.10000000000002</v>
      </c>
      <c r="P45" s="27">
        <v>345.3</v>
      </c>
      <c r="Q45" s="27">
        <f>320+4.1</f>
        <v>324.10000000000002</v>
      </c>
      <c r="R45" s="27">
        <v>361.6</v>
      </c>
      <c r="S45" s="27">
        <v>340</v>
      </c>
      <c r="T45" s="27">
        <v>362.3</v>
      </c>
      <c r="U45" s="27">
        <f>350+71</f>
        <v>421</v>
      </c>
      <c r="V45" s="27">
        <v>362.6</v>
      </c>
      <c r="W45" s="27">
        <f>350+4.1</f>
        <v>354.1</v>
      </c>
      <c r="X45" s="27"/>
      <c r="Y45" s="27"/>
      <c r="Z45" s="27"/>
      <c r="AA45" s="27"/>
      <c r="AB45" s="27"/>
      <c r="AC45" s="27"/>
      <c r="AD45" s="22">
        <f>C45-D45</f>
        <v>29.900000000000546</v>
      </c>
    </row>
    <row r="46" spans="1:30" s="32" customFormat="1" ht="19.5" hidden="1" customHeight="1" x14ac:dyDescent="0.25">
      <c r="A46" s="18" t="s">
        <v>88</v>
      </c>
      <c r="B46" s="24" t="s">
        <v>89</v>
      </c>
      <c r="C46" s="20">
        <f t="shared" si="1"/>
        <v>0</v>
      </c>
      <c r="D46" s="20">
        <f t="shared" si="1"/>
        <v>0</v>
      </c>
      <c r="E46" s="20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0">
        <f>C46-D46</f>
        <v>0</v>
      </c>
    </row>
    <row r="47" spans="1:30" s="32" customFormat="1" ht="18" customHeight="1" x14ac:dyDescent="0.25">
      <c r="A47" s="14" t="s">
        <v>90</v>
      </c>
      <c r="B47" s="15" t="s">
        <v>91</v>
      </c>
      <c r="C47" s="16">
        <f>F47+H47+J47+L47+N47+P47+R47+T47+V47+X47+Z47+AB47</f>
        <v>350.3</v>
      </c>
      <c r="D47" s="16">
        <f>G47+I47+K47+M47+O47+Q47+S47+U47+W47+Y47+AA47+AC47</f>
        <v>182.2</v>
      </c>
      <c r="E47" s="16">
        <f>D47/C47%</f>
        <v>52.012560662289459</v>
      </c>
      <c r="F47" s="17">
        <f t="shared" ref="F47:AC47" si="15">SUM(F49:F58)</f>
        <v>0</v>
      </c>
      <c r="G47" s="17">
        <f t="shared" si="15"/>
        <v>0</v>
      </c>
      <c r="H47" s="17">
        <f t="shared" si="15"/>
        <v>0</v>
      </c>
      <c r="I47" s="17">
        <f t="shared" si="15"/>
        <v>0</v>
      </c>
      <c r="J47" s="17">
        <f t="shared" si="15"/>
        <v>0</v>
      </c>
      <c r="K47" s="17">
        <f t="shared" si="15"/>
        <v>0</v>
      </c>
      <c r="L47" s="17">
        <f t="shared" si="15"/>
        <v>314.3</v>
      </c>
      <c r="M47" s="17">
        <f t="shared" si="15"/>
        <v>89.8</v>
      </c>
      <c r="N47" s="17">
        <f t="shared" si="15"/>
        <v>36</v>
      </c>
      <c r="O47" s="17">
        <f t="shared" si="15"/>
        <v>0</v>
      </c>
      <c r="P47" s="17">
        <f t="shared" si="15"/>
        <v>0</v>
      </c>
      <c r="Q47" s="17">
        <f t="shared" si="15"/>
        <v>0</v>
      </c>
      <c r="R47" s="17">
        <f t="shared" si="15"/>
        <v>0</v>
      </c>
      <c r="S47" s="17">
        <f t="shared" si="15"/>
        <v>34.9</v>
      </c>
      <c r="T47" s="17">
        <f t="shared" si="15"/>
        <v>0</v>
      </c>
      <c r="U47" s="17">
        <f t="shared" si="15"/>
        <v>57.5</v>
      </c>
      <c r="V47" s="17">
        <f t="shared" si="15"/>
        <v>0</v>
      </c>
      <c r="W47" s="17">
        <f t="shared" si="15"/>
        <v>0</v>
      </c>
      <c r="X47" s="17">
        <f t="shared" si="15"/>
        <v>0</v>
      </c>
      <c r="Y47" s="17">
        <f t="shared" si="15"/>
        <v>0</v>
      </c>
      <c r="Z47" s="17">
        <f t="shared" si="15"/>
        <v>0</v>
      </c>
      <c r="AA47" s="17">
        <f t="shared" si="15"/>
        <v>0</v>
      </c>
      <c r="AB47" s="17">
        <f t="shared" si="15"/>
        <v>0</v>
      </c>
      <c r="AC47" s="17">
        <f t="shared" si="15"/>
        <v>0</v>
      </c>
      <c r="AD47" s="16">
        <f>C47-D47</f>
        <v>168.10000000000002</v>
      </c>
    </row>
    <row r="48" spans="1:30" s="32" customFormat="1" x14ac:dyDescent="0.25">
      <c r="A48" s="23"/>
      <c r="B48" s="24" t="s">
        <v>18</v>
      </c>
      <c r="C48" s="20"/>
      <c r="D48" s="20"/>
      <c r="E48" s="20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s="31" customFormat="1" x14ac:dyDescent="0.3">
      <c r="A49" s="23" t="s">
        <v>92</v>
      </c>
      <c r="B49" s="33" t="s">
        <v>93</v>
      </c>
      <c r="C49" s="20">
        <f>F49+H49+J49+L49+N49+P49+R49+T49+V49+X49+Z49+AB49</f>
        <v>138</v>
      </c>
      <c r="D49" s="20">
        <f>G49+I49+K49+M49+O49+Q49+S49+U49+W49+Y49+AA49+AC49</f>
        <v>49.8</v>
      </c>
      <c r="E49" s="20">
        <f t="shared" ref="E49:E58" si="16">D49/C49%</f>
        <v>36.086956521739133</v>
      </c>
      <c r="F49" s="27"/>
      <c r="G49" s="27"/>
      <c r="H49" s="27"/>
      <c r="I49" s="27"/>
      <c r="J49" s="27"/>
      <c r="K49" s="27"/>
      <c r="L49" s="27">
        <v>138</v>
      </c>
      <c r="M49" s="27">
        <v>49.8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1">
        <f t="shared" ref="AD49:AD58" si="17">C49-D49</f>
        <v>88.2</v>
      </c>
    </row>
    <row r="50" spans="1:30" s="31" customFormat="1" x14ac:dyDescent="0.3">
      <c r="A50" s="23" t="s">
        <v>94</v>
      </c>
      <c r="B50" s="33" t="s">
        <v>95</v>
      </c>
      <c r="C50" s="20">
        <f t="shared" si="1"/>
        <v>60</v>
      </c>
      <c r="D50" s="20">
        <f t="shared" si="1"/>
        <v>40</v>
      </c>
      <c r="E50" s="20">
        <f t="shared" si="16"/>
        <v>66.666666666666671</v>
      </c>
      <c r="F50" s="27"/>
      <c r="G50" s="27"/>
      <c r="H50" s="27"/>
      <c r="I50" s="27"/>
      <c r="J50" s="27"/>
      <c r="K50" s="27"/>
      <c r="L50" s="27">
        <v>60</v>
      </c>
      <c r="M50" s="27">
        <v>40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1">
        <f t="shared" si="17"/>
        <v>20</v>
      </c>
    </row>
    <row r="51" spans="1:30" s="31" customFormat="1" x14ac:dyDescent="0.3">
      <c r="A51" s="23" t="s">
        <v>96</v>
      </c>
      <c r="B51" s="33" t="s">
        <v>97</v>
      </c>
      <c r="C51" s="20">
        <f t="shared" si="1"/>
        <v>50.9</v>
      </c>
      <c r="D51" s="20">
        <f t="shared" si="1"/>
        <v>0</v>
      </c>
      <c r="E51" s="20">
        <f t="shared" si="16"/>
        <v>0</v>
      </c>
      <c r="F51" s="27"/>
      <c r="G51" s="27"/>
      <c r="H51" s="27"/>
      <c r="I51" s="27"/>
      <c r="J51" s="27"/>
      <c r="K51" s="27"/>
      <c r="L51" s="27">
        <v>50.9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1">
        <f t="shared" si="17"/>
        <v>50.9</v>
      </c>
    </row>
    <row r="52" spans="1:30" s="31" customFormat="1" ht="19.5" customHeight="1" x14ac:dyDescent="0.3">
      <c r="A52" s="23" t="s">
        <v>98</v>
      </c>
      <c r="B52" s="33" t="s">
        <v>99</v>
      </c>
      <c r="C52" s="20">
        <f t="shared" si="1"/>
        <v>36.4</v>
      </c>
      <c r="D52" s="20">
        <f t="shared" si="1"/>
        <v>34.9</v>
      </c>
      <c r="E52" s="20">
        <f t="shared" si="16"/>
        <v>95.879120879120876</v>
      </c>
      <c r="F52" s="27"/>
      <c r="G52" s="27"/>
      <c r="H52" s="27"/>
      <c r="I52" s="27"/>
      <c r="J52" s="27"/>
      <c r="K52" s="27"/>
      <c r="L52" s="27">
        <v>0.4</v>
      </c>
      <c r="M52" s="27"/>
      <c r="N52" s="27">
        <v>36</v>
      </c>
      <c r="O52" s="27"/>
      <c r="P52" s="27"/>
      <c r="Q52" s="27"/>
      <c r="R52" s="27"/>
      <c r="S52" s="27">
        <v>34.9</v>
      </c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1">
        <f t="shared" si="17"/>
        <v>1.5</v>
      </c>
    </row>
    <row r="53" spans="1:30" s="31" customFormat="1" x14ac:dyDescent="0.3">
      <c r="A53" s="23" t="s">
        <v>100</v>
      </c>
      <c r="B53" s="33" t="s">
        <v>101</v>
      </c>
      <c r="C53" s="20">
        <f t="shared" si="1"/>
        <v>65</v>
      </c>
      <c r="D53" s="20">
        <f t="shared" si="1"/>
        <v>57.5</v>
      </c>
      <c r="E53" s="20">
        <f t="shared" si="16"/>
        <v>88.461538461538453</v>
      </c>
      <c r="F53" s="27"/>
      <c r="G53" s="27"/>
      <c r="H53" s="27"/>
      <c r="I53" s="27"/>
      <c r="J53" s="27"/>
      <c r="K53" s="27"/>
      <c r="L53" s="27">
        <v>65</v>
      </c>
      <c r="M53" s="27"/>
      <c r="N53" s="27"/>
      <c r="O53" s="27"/>
      <c r="P53" s="27"/>
      <c r="Q53" s="27"/>
      <c r="R53" s="27"/>
      <c r="S53" s="27"/>
      <c r="T53" s="27"/>
      <c r="U53" s="27">
        <v>57.5</v>
      </c>
      <c r="V53" s="27"/>
      <c r="W53" s="27"/>
      <c r="X53" s="27"/>
      <c r="Y53" s="27"/>
      <c r="Z53" s="27"/>
      <c r="AA53" s="27"/>
      <c r="AB53" s="27"/>
      <c r="AC53" s="27"/>
      <c r="AD53" s="21">
        <f t="shared" si="17"/>
        <v>7.5</v>
      </c>
    </row>
    <row r="54" spans="1:30" s="31" customFormat="1" hidden="1" x14ac:dyDescent="0.3">
      <c r="A54" s="23" t="s">
        <v>102</v>
      </c>
      <c r="B54" s="33"/>
      <c r="C54" s="20">
        <f t="shared" si="1"/>
        <v>0</v>
      </c>
      <c r="D54" s="20">
        <f t="shared" si="1"/>
        <v>0</v>
      </c>
      <c r="E54" s="20" t="e">
        <f t="shared" si="16"/>
        <v>#DIV/0!</v>
      </c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1">
        <f t="shared" si="17"/>
        <v>0</v>
      </c>
    </row>
    <row r="55" spans="1:30" s="31" customFormat="1" hidden="1" x14ac:dyDescent="0.3">
      <c r="A55" s="23" t="s">
        <v>103</v>
      </c>
      <c r="B55" s="33"/>
      <c r="C55" s="20">
        <f t="shared" si="1"/>
        <v>0</v>
      </c>
      <c r="D55" s="20">
        <f t="shared" si="1"/>
        <v>0</v>
      </c>
      <c r="E55" s="20" t="e">
        <f t="shared" si="16"/>
        <v>#DIV/0!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1">
        <f t="shared" si="17"/>
        <v>0</v>
      </c>
    </row>
    <row r="56" spans="1:30" s="31" customFormat="1" hidden="1" x14ac:dyDescent="0.3">
      <c r="A56" s="23" t="s">
        <v>104</v>
      </c>
      <c r="B56" s="33"/>
      <c r="C56" s="20">
        <f t="shared" ref="C56:D58" si="18">F56+H56+J56+L56+N56+P56+R56+T56+V56+X56+Z56+AB56</f>
        <v>0</v>
      </c>
      <c r="D56" s="20">
        <f t="shared" si="18"/>
        <v>0</v>
      </c>
      <c r="E56" s="20" t="e">
        <f t="shared" si="16"/>
        <v>#DIV/0!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1">
        <f t="shared" si="17"/>
        <v>0</v>
      </c>
    </row>
    <row r="57" spans="1:30" s="31" customFormat="1" hidden="1" x14ac:dyDescent="0.25">
      <c r="A57" s="23" t="s">
        <v>105</v>
      </c>
      <c r="B57" s="24"/>
      <c r="C57" s="20">
        <f t="shared" si="18"/>
        <v>0</v>
      </c>
      <c r="D57" s="20">
        <f t="shared" si="18"/>
        <v>0</v>
      </c>
      <c r="E57" s="20" t="e">
        <f t="shared" si="16"/>
        <v>#DIV/0!</v>
      </c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1">
        <f t="shared" si="17"/>
        <v>0</v>
      </c>
    </row>
    <row r="58" spans="1:30" s="32" customFormat="1" hidden="1" x14ac:dyDescent="0.25">
      <c r="A58" s="23" t="s">
        <v>106</v>
      </c>
      <c r="B58" s="24"/>
      <c r="C58" s="20">
        <f t="shared" si="18"/>
        <v>0</v>
      </c>
      <c r="D58" s="20">
        <f t="shared" si="18"/>
        <v>0</v>
      </c>
      <c r="E58" s="20" t="e">
        <f t="shared" si="16"/>
        <v>#DIV/0!</v>
      </c>
      <c r="F58" s="27"/>
      <c r="G58" s="27"/>
      <c r="H58" s="27"/>
      <c r="I58" s="27"/>
      <c r="J58" s="34"/>
      <c r="K58" s="27"/>
      <c r="L58" s="34"/>
      <c r="M58" s="27"/>
      <c r="N58" s="34"/>
      <c r="O58" s="27"/>
      <c r="P58" s="34"/>
      <c r="Q58" s="27"/>
      <c r="R58" s="34"/>
      <c r="S58" s="27"/>
      <c r="T58" s="34"/>
      <c r="U58" s="27"/>
      <c r="V58" s="34"/>
      <c r="W58" s="27"/>
      <c r="X58" s="27"/>
      <c r="Y58" s="27"/>
      <c r="Z58" s="27"/>
      <c r="AA58" s="27"/>
      <c r="AB58" s="27"/>
      <c r="AC58" s="27"/>
      <c r="AD58" s="21">
        <f t="shared" si="17"/>
        <v>0</v>
      </c>
    </row>
    <row r="59" spans="1:30" s="32" customFormat="1" ht="29.25" customHeight="1" x14ac:dyDescent="0.25">
      <c r="A59" s="14"/>
      <c r="B59" s="15" t="s">
        <v>107</v>
      </c>
      <c r="C59" s="16">
        <f>F59+H59+J59+L59+N59+P59+R59+T59+V59+X59+Z59+AB59</f>
        <v>33907.800000000003</v>
      </c>
      <c r="D59" s="16">
        <f>G59+I59+K59+M59+O59+Q59+S59+U59+W59+Y59+AA59+AC59</f>
        <v>30099.8</v>
      </c>
      <c r="E59" s="16">
        <f>D59/C59%</f>
        <v>88.769545650263353</v>
      </c>
      <c r="F59" s="16">
        <f t="shared" ref="F59:AC59" si="19">F47+F7</f>
        <v>3968.7000000000003</v>
      </c>
      <c r="G59" s="16">
        <f t="shared" si="19"/>
        <v>1735.4999999999998</v>
      </c>
      <c r="H59" s="16">
        <f t="shared" si="19"/>
        <v>2633</v>
      </c>
      <c r="I59" s="16">
        <f t="shared" si="19"/>
        <v>4276.7</v>
      </c>
      <c r="J59" s="16">
        <f t="shared" si="19"/>
        <v>3579.8</v>
      </c>
      <c r="K59" s="16">
        <f t="shared" si="19"/>
        <v>2859.0999999999995</v>
      </c>
      <c r="L59" s="16">
        <f t="shared" si="19"/>
        <v>4916</v>
      </c>
      <c r="M59" s="16">
        <f t="shared" si="19"/>
        <v>4180.5</v>
      </c>
      <c r="N59" s="16">
        <f t="shared" si="19"/>
        <v>3949.7000000000003</v>
      </c>
      <c r="O59" s="16">
        <f t="shared" si="19"/>
        <v>2854.2999999999997</v>
      </c>
      <c r="P59" s="16">
        <f t="shared" si="19"/>
        <v>3322.6000000000004</v>
      </c>
      <c r="Q59" s="16">
        <f t="shared" si="19"/>
        <v>3354.6</v>
      </c>
      <c r="R59" s="16">
        <f t="shared" si="19"/>
        <v>3988.0999999999995</v>
      </c>
      <c r="S59" s="16">
        <f t="shared" si="19"/>
        <v>3722.9</v>
      </c>
      <c r="T59" s="16">
        <f t="shared" si="19"/>
        <v>3530.3</v>
      </c>
      <c r="U59" s="16">
        <f t="shared" si="19"/>
        <v>3803.3</v>
      </c>
      <c r="V59" s="16">
        <f t="shared" si="19"/>
        <v>4019.6000000000004</v>
      </c>
      <c r="W59" s="16">
        <f t="shared" si="19"/>
        <v>3312.9000000000005</v>
      </c>
      <c r="X59" s="16">
        <f t="shared" si="19"/>
        <v>0</v>
      </c>
      <c r="Y59" s="16">
        <f t="shared" si="19"/>
        <v>0</v>
      </c>
      <c r="Z59" s="16">
        <f t="shared" si="19"/>
        <v>0</v>
      </c>
      <c r="AA59" s="16">
        <f t="shared" si="19"/>
        <v>0</v>
      </c>
      <c r="AB59" s="16">
        <f t="shared" si="19"/>
        <v>0</v>
      </c>
      <c r="AC59" s="16">
        <f t="shared" si="19"/>
        <v>0</v>
      </c>
      <c r="AD59" s="16">
        <f>AD47+AD7</f>
        <v>3808.0000000000014</v>
      </c>
    </row>
    <row r="60" spans="1:30" x14ac:dyDescent="0.3">
      <c r="A60" s="35" t="s">
        <v>108</v>
      </c>
      <c r="B60" s="36"/>
      <c r="C60" s="36"/>
      <c r="D60" s="36"/>
      <c r="E60" s="37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8" t="s">
        <v>109</v>
      </c>
    </row>
    <row r="61" spans="1:30" x14ac:dyDescent="0.3">
      <c r="A61" s="35" t="s">
        <v>110</v>
      </c>
      <c r="B61" s="39"/>
      <c r="C61" s="39"/>
      <c r="D61" s="39"/>
      <c r="E61" s="39"/>
      <c r="F61" s="39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8" t="s">
        <v>111</v>
      </c>
    </row>
    <row r="62" spans="1:30" ht="12.75" x14ac:dyDescent="0.2">
      <c r="A62" s="3"/>
      <c r="AD62" s="3"/>
    </row>
    <row r="64" spans="1:30" x14ac:dyDescent="0.3">
      <c r="D64" s="41"/>
    </row>
  </sheetData>
  <mergeCells count="21">
    <mergeCell ref="T5:U5"/>
    <mergeCell ref="V5:W5"/>
    <mergeCell ref="X5:Y5"/>
    <mergeCell ref="Z5:AA5"/>
    <mergeCell ref="AB5:AC5"/>
    <mergeCell ref="H5:I5"/>
    <mergeCell ref="J5:K5"/>
    <mergeCell ref="L5:M5"/>
    <mergeCell ref="N5:O5"/>
    <mergeCell ref="P5:Q5"/>
    <mergeCell ref="R5:S5"/>
    <mergeCell ref="A1:AD1"/>
    <mergeCell ref="AE1:AP1"/>
    <mergeCell ref="A2:AD2"/>
    <mergeCell ref="A3:AD3"/>
    <mergeCell ref="A4:A6"/>
    <mergeCell ref="B4:B6"/>
    <mergeCell ref="C4:E5"/>
    <mergeCell ref="F4:AC4"/>
    <mergeCell ref="AD4:AD6"/>
    <mergeCell ref="F5:G5"/>
  </mergeCells>
  <pageMargins left="0.28000000000000003" right="0.16" top="0.24" bottom="0.17812500000000001" header="0.16" footer="0.16"/>
  <pageSetup paperSize="9" scale="3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9міс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2020-10-06T08:15:25Z</dcterms:created>
  <dcterms:modified xsi:type="dcterms:W3CDTF">2020-10-06T08:25:15Z</dcterms:modified>
</cp:coreProperties>
</file>