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150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дод.1!$A$1:$F$134</definedName>
  </definedNames>
  <calcPr calcId="125725" fullCalcOnLoad="1"/>
</workbook>
</file>

<file path=xl/calcChain.xml><?xml version="1.0" encoding="utf-8"?>
<calcChain xmlns="http://schemas.openxmlformats.org/spreadsheetml/2006/main">
  <c r="D114" i="13"/>
  <c r="D38"/>
  <c r="D37"/>
  <c r="D32"/>
  <c r="D41"/>
  <c r="D42"/>
  <c r="D25"/>
  <c r="D24"/>
  <c r="D129"/>
  <c r="E59"/>
  <c r="E57"/>
  <c r="E58"/>
  <c r="D68"/>
  <c r="D67"/>
  <c r="D53"/>
  <c r="D52"/>
  <c r="C52"/>
  <c r="D43"/>
  <c r="D20"/>
  <c r="D19"/>
  <c r="D74"/>
  <c r="D63"/>
  <c r="D83"/>
  <c r="D85"/>
  <c r="D33"/>
  <c r="D40"/>
  <c r="E87"/>
  <c r="E85"/>
  <c r="E83"/>
  <c r="E60"/>
  <c r="D82"/>
  <c r="D80"/>
  <c r="D75"/>
  <c r="D73"/>
  <c r="D69"/>
  <c r="D54"/>
  <c r="D50"/>
  <c r="D49"/>
  <c r="D47"/>
  <c r="D45"/>
  <c r="D39"/>
  <c r="D36"/>
  <c r="C33"/>
  <c r="D30"/>
  <c r="D29"/>
  <c r="D28"/>
  <c r="D22"/>
  <c r="D21"/>
  <c r="C114"/>
  <c r="D123"/>
  <c r="C123"/>
  <c r="D18"/>
  <c r="D17"/>
  <c r="D16"/>
  <c r="C16"/>
  <c r="C15"/>
  <c r="D113"/>
  <c r="C113"/>
  <c r="C32"/>
  <c r="D119"/>
  <c r="C119"/>
  <c r="D118"/>
  <c r="D117"/>
  <c r="C117"/>
  <c r="D112"/>
  <c r="D111"/>
  <c r="F120"/>
  <c r="F116"/>
  <c r="F107"/>
  <c r="F106"/>
  <c r="E120"/>
  <c r="E116"/>
  <c r="E107"/>
  <c r="E106"/>
  <c r="C127"/>
  <c r="C126"/>
  <c r="D125"/>
  <c r="C115"/>
  <c r="E90"/>
  <c r="E89"/>
  <c r="E103"/>
  <c r="C103"/>
  <c r="D90"/>
  <c r="C92"/>
  <c r="C63"/>
  <c r="C67"/>
  <c r="C68"/>
  <c r="C129"/>
  <c r="C128"/>
  <c r="C22"/>
  <c r="C125"/>
  <c r="C122"/>
  <c r="E95"/>
  <c r="D108"/>
  <c r="C108"/>
  <c r="D79"/>
  <c r="D62"/>
  <c r="D77"/>
  <c r="C36"/>
  <c r="C37"/>
  <c r="C38"/>
  <c r="C39"/>
  <c r="C40"/>
  <c r="C41"/>
  <c r="C42"/>
  <c r="C43"/>
  <c r="C44"/>
  <c r="C45"/>
  <c r="C47"/>
  <c r="C49"/>
  <c r="C50"/>
  <c r="C53"/>
  <c r="C54"/>
  <c r="C19"/>
  <c r="F83"/>
  <c r="F60"/>
  <c r="D98"/>
  <c r="C98"/>
  <c r="D96"/>
  <c r="C96"/>
  <c r="C74"/>
  <c r="C110"/>
  <c r="C20"/>
  <c r="C25"/>
  <c r="C28"/>
  <c r="C102"/>
  <c r="C101"/>
  <c r="C100"/>
  <c r="C99"/>
  <c r="C95"/>
  <c r="D48"/>
  <c r="C48"/>
  <c r="C81"/>
  <c r="C76"/>
  <c r="C62"/>
  <c r="C64"/>
  <c r="C72"/>
  <c r="G44"/>
  <c r="F99"/>
  <c r="F95"/>
  <c r="F102"/>
  <c r="F101"/>
  <c r="F100"/>
  <c r="C75"/>
  <c r="C69"/>
  <c r="D27"/>
  <c r="D56"/>
  <c r="D55"/>
  <c r="C109"/>
  <c r="C78"/>
  <c r="C77"/>
  <c r="C82"/>
  <c r="C66"/>
  <c r="C87"/>
  <c r="C86"/>
  <c r="C85"/>
  <c r="C84"/>
  <c r="C88"/>
  <c r="C97"/>
  <c r="C93"/>
  <c r="C91"/>
  <c r="C57"/>
  <c r="C58"/>
  <c r="C59"/>
  <c r="E101"/>
  <c r="E100"/>
  <c r="E94"/>
  <c r="C104"/>
  <c r="C73"/>
  <c r="C71"/>
  <c r="C80"/>
  <c r="D71"/>
  <c r="D70"/>
  <c r="D46"/>
  <c r="C46"/>
  <c r="C27"/>
  <c r="D95"/>
  <c r="D94"/>
  <c r="C90"/>
  <c r="C89"/>
  <c r="C124"/>
  <c r="C79"/>
  <c r="C112"/>
  <c r="C118"/>
  <c r="C18"/>
  <c r="C111"/>
  <c r="C17"/>
  <c r="D120"/>
  <c r="C120"/>
  <c r="E56"/>
  <c r="E55"/>
  <c r="E14"/>
  <c r="E105"/>
  <c r="E130"/>
  <c r="C83"/>
  <c r="C94"/>
  <c r="F94"/>
  <c r="C70"/>
  <c r="D35"/>
  <c r="C35"/>
  <c r="C34"/>
  <c r="D31"/>
  <c r="C31"/>
  <c r="C30"/>
  <c r="C29"/>
  <c r="C21"/>
  <c r="D15"/>
  <c r="F105"/>
  <c r="F130"/>
  <c r="D26"/>
  <c r="C26"/>
  <c r="D116"/>
  <c r="C56"/>
  <c r="C55"/>
  <c r="D65"/>
  <c r="C65"/>
  <c r="C61"/>
  <c r="C60"/>
  <c r="D51"/>
  <c r="C51"/>
  <c r="C116"/>
  <c r="D61"/>
  <c r="D60"/>
  <c r="C24"/>
  <c r="D23"/>
  <c r="C23"/>
  <c r="C14"/>
  <c r="D34"/>
  <c r="D14"/>
  <c r="D105"/>
  <c r="C105"/>
  <c r="D107"/>
  <c r="C107"/>
  <c r="D106"/>
  <c r="C106"/>
  <c r="D130"/>
  <c r="C130"/>
</calcChain>
</file>

<file path=xl/sharedStrings.xml><?xml version="1.0" encoding="utf-8"?>
<sst xmlns="http://schemas.openxmlformats.org/spreadsheetml/2006/main" count="135" uniqueCount="132">
  <si>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</si>
  <si>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</si>
  <si>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</si>
  <si>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</si>
  <si>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</si>
  <si>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</si>
  <si>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</si>
  <si>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</si>
  <si>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</si>
  <si>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</si>
  <si>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</si>
  <si>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</si>
  <si>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</si>
  <si>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</si>
  <si>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</si>
  <si>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</si>
  <si>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</si>
  <si>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</si>
  <si>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</si>
  <si>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</si>
  <si>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</si>
  <si>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</si>
  <si>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</si>
  <si>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</si>
  <si>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</si>
  <si>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</si>
  <si>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</si>
  <si>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</si>
  <si>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</si>
  <si>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</si>
  <si>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</si>
  <si>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</si>
  <si>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</si>
  <si>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</si>
  <si>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</si>
  <si>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</si>
  <si>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</si>
  <si>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</si>
  <si>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</si>
  <si>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</si>
  <si>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</si>
  <si>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</si>
  <si>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</si>
  <si>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</si>
  <si>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</si>
  <si>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</si>
  <si>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</si>
  <si>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</si>
  <si>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</si>
  <si>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</si>
  <si>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</si>
  <si>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>Доходи від операцій з капіталом</t>
  </si>
  <si>
    <t>Додаток  1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</si>
  <si>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</si>
  <si>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</si>
  <si>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</si>
  <si>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</si>
  <si>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</si>
  <si>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</si>
  <si>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</si>
  <si>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</si>
  <si>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</si>
  <si>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</si>
  <si>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</si>
  <si>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</si>
  <si>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</si>
  <si>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</si>
  <si>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</si>
  <si>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</si>
  <si>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</si>
  <si>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</si>
  <si>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</si>
  <si>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</si>
  <si>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</si>
  <si>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</si>
  <si>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</si>
  <si>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</si>
  <si>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</si>
  <si>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</si>
  <si>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</si>
  <si>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</si>
  <si>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</si>
  <si>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</si>
  <si>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</si>
  <si>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</si>
  <si>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</si>
  <si>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</si>
  <si>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</si>
  <si>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</si>
  <si>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</si>
  <si>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</si>
  <si>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</si>
  <si>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</si>
  <si>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</si>
  <si>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</si>
  <si>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</si>
  <si>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</si>
  <si>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</si>
  <si>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</si>
  <si>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04584000000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</si>
  <si>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</si>
  <si>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</si>
  <si>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субвенція з бюджету Вербківської  сільської територіальної громади  на придбання медичного обладнання  КНП "Павлоградський пологовий будинок" ПМР</t>
  </si>
  <si>
    <t>Надходження від орендної плати за користування майновим комплексом та іншим майном, що перебуває в комунальній власності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</si>
  <si>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</si>
  <si>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</si>
  <si>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</si>
  <si>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Найменування згідно  з Класифікацією 
доходів бюджету</t>
  </si>
  <si>
    <t>у тому числі бюджет розвитку</t>
  </si>
  <si>
    <t>х</t>
  </si>
  <si>
    <t> 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</si>
  <si>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</si>
  <si>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</si>
  <si>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</si>
  <si>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</si>
  <si>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субвенція з бюджету Троїцької  сільської територіальної громади </t>
  </si>
  <si>
    <t xml:space="preserve"> - на оновлення матеріально-технічної бази КНП "Павлоградський пологовий будинок" ПМР</t>
  </si>
  <si>
    <t xml:space="preserve">- на проведення капітального ремонту ліфта КНП "Павлоградська лікарня інтенсивного лікутання" ПМР </t>
  </si>
  <si>
    <t>- на інклюзивно - ресурсні центри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</si>
  <si>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</si>
  <si>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</si>
  <si>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Інші дотації з місцевого бюджету</t>
  </si>
  <si>
    <t>субвенція з обласного бюджету бюджетам територіальних громад на виконання доручень виборців депутатами обласної ради у 2022 році</t>
  </si>
  <si>
    <t xml:space="preserve">від  </t>
  </si>
  <si>
    <t xml:space="preserve">№ </t>
  </si>
  <si>
    <t>субвенція з бюджету Вербківської  сільської територіальної громади для КУ "Центр надання соціально - психологічних послуг" ПМР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</si>
  <si>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</si>
  <si>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до рішення виконавчого комітету</t>
  </si>
  <si>
    <t xml:space="preserve">Доходи 
бюджету Павлоградської міської територіальної громади на 2022 рік </t>
  </si>
  <si>
    <t>Начальник фінансового управління</t>
  </si>
  <si>
    <t>Раїса РОЇК</t>
  </si>
  <si>
    <t>субвенція з бюджету Новопавлівської сільської територіальної громади на  придбання обладнання для  КНП "Павлоградський пологовий будинок" ПМР</t>
  </si>
</sst>
</file>

<file path=xl/styles.xml><?xml version="1.0" encoding="utf-8"?>
<styleSheet xmlns="http://schemas.openxmlformats.org/spreadsheetml/2006/main">
  <numFmts count="1">
    <numFmt numFmtId="200" formatCode="#,##0.0"/>
  </numFmts>
  <fonts count="39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89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0" fontId="31" fillId="0" borderId="0" xfId="0" applyNumberFormat="1" applyFont="1" applyFill="1" applyAlignment="1" applyProtection="1">
      <alignment wrapText="1"/>
    </xf>
    <xf numFmtId="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4" fillId="0" borderId="0" xfId="29" applyFont="1" applyAlignment="1" applyProtection="1"/>
    <xf numFmtId="0" fontId="29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5" fillId="24" borderId="0" xfId="0" applyNumberFormat="1" applyFont="1" applyFill="1" applyBorder="1" applyAlignment="1" applyProtection="1">
      <alignment horizontal="center" vertical="center" wrapText="1"/>
    </xf>
    <xf numFmtId="0" fontId="35" fillId="24" borderId="0" xfId="0" applyNumberFormat="1" applyFont="1" applyFill="1" applyBorder="1" applyAlignment="1" applyProtection="1">
      <alignment horizontal="center" vertical="center"/>
    </xf>
    <xf numFmtId="0" fontId="36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0" fontId="38" fillId="24" borderId="0" xfId="0" applyFont="1" applyFill="1" applyAlignment="1">
      <alignment horizontal="justify" vertical="center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29" fillId="24" borderId="7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left" vertical="center" wrapText="1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49" fontId="29" fillId="24" borderId="7" xfId="0" applyNumberFormat="1" applyFont="1" applyFill="1" applyBorder="1" applyAlignment="1">
      <alignment vertical="top" wrapText="1"/>
    </xf>
    <xf numFmtId="49" fontId="29" fillId="24" borderId="7" xfId="0" applyNumberFormat="1" applyFont="1" applyFill="1" applyBorder="1" applyAlignment="1">
      <alignment vertical="top" wrapText="1" shrinkToFit="1"/>
    </xf>
    <xf numFmtId="4" fontId="29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4" fontId="17" fillId="24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Font="1" applyBorder="1" applyAlignment="1">
      <alignment horizontal="left" vertical="top" wrapText="1" shrinkToFit="1"/>
    </xf>
    <xf numFmtId="4" fontId="29" fillId="0" borderId="0" xfId="0" applyNumberFormat="1" applyFont="1"/>
    <xf numFmtId="3" fontId="17" fillId="0" borderId="0" xfId="0" applyNumberFormat="1" applyFont="1" applyFill="1" applyAlignment="1" applyProtection="1">
      <alignment wrapText="1"/>
    </xf>
    <xf numFmtId="49" fontId="25" fillId="24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horizontal="left" vertical="center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7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47"/>
  <sheetViews>
    <sheetView showGridLines="0" showZeros="0" tabSelected="1" view="pageBreakPreview" topLeftCell="A83" zoomScale="68" zoomScaleNormal="100" zoomScaleSheetLayoutView="68" workbookViewId="0">
      <selection activeCell="D114" sqref="D114"/>
    </sheetView>
  </sheetViews>
  <sheetFormatPr defaultColWidth="9.1640625" defaultRowHeight="12.75"/>
  <cols>
    <col min="1" max="1" width="15.6640625" style="1" customWidth="1"/>
    <col min="2" max="2" width="81" style="32" customWidth="1"/>
    <col min="3" max="3" width="22" style="32" customWidth="1"/>
    <col min="4" max="4" width="20.83203125" style="32" customWidth="1"/>
    <col min="5" max="5" width="14.6640625" style="32" customWidth="1"/>
    <col min="6" max="6" width="13" style="32" customWidth="1"/>
    <col min="7" max="7" width="13.83203125" style="1" bestFit="1" customWidth="1"/>
    <col min="8" max="8" width="17.164062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27"/>
      <c r="C1" s="54"/>
      <c r="D1" s="55" t="s">
        <v>52</v>
      </c>
      <c r="E1" s="55"/>
      <c r="F1" s="55"/>
      <c r="G1" s="6"/>
    </row>
    <row r="2" spans="1:253" ht="15.75" customHeight="1">
      <c r="A2" s="3"/>
      <c r="B2" s="27"/>
      <c r="C2" s="54"/>
      <c r="D2" s="55" t="s">
        <v>127</v>
      </c>
      <c r="E2" s="55"/>
      <c r="F2" s="55"/>
      <c r="G2" s="6"/>
    </row>
    <row r="3" spans="1:253" ht="21" customHeight="1">
      <c r="A3" s="3"/>
      <c r="B3" s="27"/>
      <c r="C3" s="54"/>
      <c r="D3" s="55" t="s">
        <v>123</v>
      </c>
      <c r="E3" s="55"/>
      <c r="F3" s="55"/>
      <c r="G3" s="6"/>
    </row>
    <row r="4" spans="1:253" ht="22.5" customHeight="1">
      <c r="A4" s="3"/>
      <c r="B4" s="27"/>
      <c r="C4" s="54"/>
      <c r="D4" s="55" t="s">
        <v>124</v>
      </c>
      <c r="E4" s="55"/>
      <c r="F4" s="55"/>
      <c r="G4" s="6"/>
    </row>
    <row r="5" spans="1:253" ht="15.75" customHeight="1">
      <c r="A5" s="3"/>
      <c r="B5" s="27"/>
      <c r="C5" s="56"/>
      <c r="D5" s="56"/>
      <c r="E5" s="56"/>
      <c r="F5" s="56"/>
      <c r="G5" s="6"/>
    </row>
    <row r="6" spans="1:253" ht="105" customHeight="1">
      <c r="A6" s="84" t="s">
        <v>128</v>
      </c>
      <c r="B6" s="84"/>
      <c r="C6" s="84"/>
      <c r="D6" s="84"/>
      <c r="E6" s="84"/>
      <c r="F6" s="84"/>
    </row>
    <row r="7" spans="1:253" ht="19.5" customHeight="1">
      <c r="A7" s="50"/>
      <c r="B7" s="87" t="s">
        <v>99</v>
      </c>
      <c r="C7" s="87"/>
      <c r="D7" s="87"/>
      <c r="E7" s="87"/>
      <c r="F7" s="57"/>
    </row>
    <row r="8" spans="1:253" ht="18.600000000000001" customHeight="1">
      <c r="B8" s="88" t="s">
        <v>97</v>
      </c>
      <c r="C8" s="88"/>
      <c r="D8" s="88"/>
      <c r="E8" s="88"/>
      <c r="F8" s="58"/>
    </row>
    <row r="9" spans="1:253" ht="10.9" customHeight="1">
      <c r="B9" s="36"/>
      <c r="C9" s="58"/>
      <c r="D9" s="58"/>
      <c r="E9" s="58"/>
      <c r="F9" s="58"/>
    </row>
    <row r="10" spans="1:253" ht="15.6" customHeight="1">
      <c r="A10" s="3"/>
      <c r="B10" s="28"/>
      <c r="C10" s="28"/>
      <c r="D10" s="28"/>
      <c r="E10" s="28"/>
      <c r="F10" s="59" t="s">
        <v>89</v>
      </c>
    </row>
    <row r="11" spans="1:253" ht="25.5" customHeight="1">
      <c r="A11" s="86" t="s">
        <v>0</v>
      </c>
      <c r="B11" s="85" t="s">
        <v>107</v>
      </c>
      <c r="C11" s="85" t="s">
        <v>85</v>
      </c>
      <c r="D11" s="85" t="s">
        <v>11</v>
      </c>
      <c r="E11" s="85" t="s">
        <v>12</v>
      </c>
      <c r="F11" s="85"/>
    </row>
    <row r="12" spans="1:253" ht="60.75" customHeight="1">
      <c r="A12" s="86"/>
      <c r="B12" s="85"/>
      <c r="C12" s="85"/>
      <c r="D12" s="85"/>
      <c r="E12" s="53" t="s">
        <v>86</v>
      </c>
      <c r="F12" s="60" t="s">
        <v>108</v>
      </c>
    </row>
    <row r="13" spans="1:253" ht="19.899999999999999" customHeight="1">
      <c r="A13" s="37">
        <v>1</v>
      </c>
      <c r="B13" s="53">
        <v>2</v>
      </c>
      <c r="C13" s="53">
        <v>3</v>
      </c>
      <c r="D13" s="53">
        <v>4</v>
      </c>
      <c r="E13" s="53">
        <v>5</v>
      </c>
      <c r="F13" s="60">
        <v>6</v>
      </c>
    </row>
    <row r="14" spans="1:253" s="10" customFormat="1" ht="16.149999999999999" customHeight="1">
      <c r="A14" s="39">
        <v>10000000</v>
      </c>
      <c r="B14" s="30" t="s">
        <v>2</v>
      </c>
      <c r="C14" s="61">
        <f>C15+C23+C26+C34+C55</f>
        <v>673176815</v>
      </c>
      <c r="D14" s="61">
        <f>D15+D23+D26+D34+D55</f>
        <v>672475700</v>
      </c>
      <c r="E14" s="61">
        <f>E15+E26+E34+E55</f>
        <v>701115</v>
      </c>
      <c r="F14" s="61"/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9">
        <v>11000000</v>
      </c>
      <c r="B15" s="30" t="s">
        <v>3</v>
      </c>
      <c r="C15" s="61">
        <f>C16+C21</f>
        <v>448898100</v>
      </c>
      <c r="D15" s="61">
        <f>D16+D21</f>
        <v>448898100</v>
      </c>
      <c r="E15" s="61"/>
      <c r="F15" s="61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9">
        <v>11010000</v>
      </c>
      <c r="B16" s="29" t="s">
        <v>15</v>
      </c>
      <c r="C16" s="61">
        <f>D16+E16</f>
        <v>447502100</v>
      </c>
      <c r="D16" s="61">
        <f>SUM(D17:D20)</f>
        <v>447502100</v>
      </c>
      <c r="E16" s="61"/>
      <c r="F16" s="61"/>
    </row>
    <row r="17" spans="1:253" s="14" customFormat="1" ht="34.15" customHeight="1">
      <c r="A17" s="39">
        <v>11010100</v>
      </c>
      <c r="B17" s="29" t="s">
        <v>16</v>
      </c>
      <c r="C17" s="61">
        <f>D17</f>
        <v>390002100</v>
      </c>
      <c r="D17" s="61">
        <f>400002100-10000000</f>
        <v>390002100</v>
      </c>
      <c r="E17" s="61"/>
      <c r="F17" s="61"/>
    </row>
    <row r="18" spans="1:253" s="14" customFormat="1" ht="50.45" customHeight="1">
      <c r="A18" s="39">
        <v>11010200</v>
      </c>
      <c r="B18" s="29" t="s">
        <v>17</v>
      </c>
      <c r="C18" s="61">
        <f>D18</f>
        <v>46400000</v>
      </c>
      <c r="D18" s="61">
        <f>36400000+10000000</f>
        <v>46400000</v>
      </c>
      <c r="E18" s="61"/>
      <c r="F18" s="61"/>
    </row>
    <row r="19" spans="1:253" s="14" customFormat="1" ht="36" customHeight="1">
      <c r="A19" s="39">
        <v>11010400</v>
      </c>
      <c r="B19" s="29" t="s">
        <v>18</v>
      </c>
      <c r="C19" s="61">
        <f>D19</f>
        <v>7250000</v>
      </c>
      <c r="D19" s="61">
        <f>6600000+600000+50000</f>
        <v>7250000</v>
      </c>
      <c r="E19" s="61"/>
      <c r="F19" s="61"/>
    </row>
    <row r="20" spans="1:253" s="14" customFormat="1" ht="30.6" customHeight="1">
      <c r="A20" s="39">
        <v>11010500</v>
      </c>
      <c r="B20" s="29" t="s">
        <v>19</v>
      </c>
      <c r="C20" s="61">
        <f>D20</f>
        <v>3850000</v>
      </c>
      <c r="D20" s="61">
        <f>4500000-600000-50000</f>
        <v>3850000</v>
      </c>
      <c r="E20" s="61"/>
      <c r="F20" s="61"/>
    </row>
    <row r="21" spans="1:253" s="11" customFormat="1" ht="15.6" customHeight="1">
      <c r="A21" s="39">
        <v>11020000</v>
      </c>
      <c r="B21" s="30" t="s">
        <v>4</v>
      </c>
      <c r="C21" s="61">
        <f>D21+E21</f>
        <v>1396000</v>
      </c>
      <c r="D21" s="61">
        <f>SUM(D22:D22)</f>
        <v>1396000</v>
      </c>
      <c r="E21" s="61"/>
      <c r="F21" s="61"/>
    </row>
    <row r="22" spans="1:253" s="15" customFormat="1" ht="31.15" customHeight="1">
      <c r="A22" s="39">
        <v>11020200</v>
      </c>
      <c r="B22" s="29" t="s">
        <v>20</v>
      </c>
      <c r="C22" s="61">
        <f>D22</f>
        <v>1396000</v>
      </c>
      <c r="D22" s="61">
        <f>550000+846000</f>
        <v>1396000</v>
      </c>
      <c r="E22" s="61"/>
      <c r="F22" s="61"/>
    </row>
    <row r="23" spans="1:253" s="11" customFormat="1" ht="22.15" customHeight="1">
      <c r="A23" s="39">
        <v>13000000</v>
      </c>
      <c r="B23" s="38" t="s">
        <v>93</v>
      </c>
      <c r="C23" s="61">
        <f>D23</f>
        <v>8850</v>
      </c>
      <c r="D23" s="61">
        <f>D24</f>
        <v>8850</v>
      </c>
      <c r="E23" s="61"/>
      <c r="F23" s="61"/>
    </row>
    <row r="24" spans="1:253" s="11" customFormat="1" ht="16.899999999999999" customHeight="1">
      <c r="A24" s="39">
        <v>13030000</v>
      </c>
      <c r="B24" s="38" t="s">
        <v>110</v>
      </c>
      <c r="C24" s="61">
        <f>D24</f>
        <v>8850</v>
      </c>
      <c r="D24" s="61">
        <f>D25</f>
        <v>8850</v>
      </c>
      <c r="E24" s="61"/>
      <c r="F24" s="61"/>
    </row>
    <row r="25" spans="1:253" s="15" customFormat="1" ht="31.15" customHeight="1">
      <c r="A25" s="39">
        <v>13030100</v>
      </c>
      <c r="B25" s="38" t="s">
        <v>111</v>
      </c>
      <c r="C25" s="61">
        <f>D25</f>
        <v>8850</v>
      </c>
      <c r="D25" s="61">
        <f>10000-1150</f>
        <v>8850</v>
      </c>
      <c r="E25" s="61"/>
      <c r="F25" s="61"/>
    </row>
    <row r="26" spans="1:253" s="12" customFormat="1" ht="15.75">
      <c r="A26" s="39">
        <v>14000000</v>
      </c>
      <c r="B26" s="30" t="s">
        <v>10</v>
      </c>
      <c r="C26" s="61">
        <f>D26+E26</f>
        <v>50956660</v>
      </c>
      <c r="D26" s="62">
        <f>D27+D29+D31</f>
        <v>50956660</v>
      </c>
      <c r="E26" s="62"/>
      <c r="F26" s="62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19.149999999999999" customHeight="1">
      <c r="A27" s="39">
        <v>14020000</v>
      </c>
      <c r="B27" s="30" t="s">
        <v>79</v>
      </c>
      <c r="C27" s="61">
        <f>D27</f>
        <v>800000</v>
      </c>
      <c r="D27" s="62">
        <f>D28</f>
        <v>800000</v>
      </c>
      <c r="E27" s="62"/>
      <c r="F27" s="62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customHeight="1">
      <c r="A28" s="39">
        <v>14021900</v>
      </c>
      <c r="B28" s="30" t="s">
        <v>70</v>
      </c>
      <c r="C28" s="61">
        <f>D28</f>
        <v>800000</v>
      </c>
      <c r="D28" s="62">
        <f>4140000-3340000</f>
        <v>800000</v>
      </c>
      <c r="E28" s="62"/>
      <c r="F28" s="62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customHeight="1">
      <c r="A29" s="39">
        <v>14030000</v>
      </c>
      <c r="B29" s="30" t="s">
        <v>101</v>
      </c>
      <c r="C29" s="61">
        <f>D29+E29</f>
        <v>4940000</v>
      </c>
      <c r="D29" s="62">
        <f>D30</f>
        <v>4940000</v>
      </c>
      <c r="E29" s="62"/>
      <c r="F29" s="62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>
      <c r="A30" s="39">
        <v>14031900</v>
      </c>
      <c r="B30" s="30" t="s">
        <v>70</v>
      </c>
      <c r="C30" s="61">
        <f>D30</f>
        <v>4940000</v>
      </c>
      <c r="D30" s="62">
        <f>14000000-9060000</f>
        <v>4940000</v>
      </c>
      <c r="E30" s="62"/>
      <c r="F30" s="62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customHeight="1">
      <c r="A31" s="40">
        <v>14040000</v>
      </c>
      <c r="B31" s="29" t="s">
        <v>21</v>
      </c>
      <c r="C31" s="61">
        <f>D31</f>
        <v>45216660</v>
      </c>
      <c r="D31" s="62">
        <f>D32+D33</f>
        <v>45216660</v>
      </c>
      <c r="E31" s="62"/>
      <c r="F31" s="62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81" customHeight="1">
      <c r="A32" s="40">
        <v>14040100</v>
      </c>
      <c r="B32" s="29" t="s">
        <v>119</v>
      </c>
      <c r="C32" s="61">
        <f>D32</f>
        <v>10376660</v>
      </c>
      <c r="D32" s="62">
        <f>5810000+4108510+643150-185000</f>
        <v>10376660</v>
      </c>
      <c r="E32" s="62"/>
      <c r="F32" s="62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48.6" customHeight="1">
      <c r="A33" s="40">
        <v>14040200</v>
      </c>
      <c r="B33" s="29" t="s">
        <v>120</v>
      </c>
      <c r="C33" s="61">
        <f>D33</f>
        <v>34840000</v>
      </c>
      <c r="D33" s="62">
        <f>23790000+11050000</f>
        <v>34840000</v>
      </c>
      <c r="E33" s="62"/>
      <c r="F33" s="62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0" customHeight="1">
      <c r="A34" s="39">
        <v>18000000</v>
      </c>
      <c r="B34" s="30" t="s">
        <v>112</v>
      </c>
      <c r="C34" s="61">
        <f>C35+C46+C48+C51</f>
        <v>172612090</v>
      </c>
      <c r="D34" s="61">
        <f>D35+D46+D48+D51</f>
        <v>172612090</v>
      </c>
      <c r="E34" s="61"/>
      <c r="F34" s="61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15.75">
      <c r="A35" s="39">
        <v>18010000</v>
      </c>
      <c r="B35" s="30" t="s">
        <v>22</v>
      </c>
      <c r="C35" s="61">
        <f>D35+E35</f>
        <v>93648750</v>
      </c>
      <c r="D35" s="62">
        <f>SUM(D36:D45)</f>
        <v>93648750</v>
      </c>
      <c r="E35" s="62"/>
      <c r="F35" s="62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6.6" customHeight="1">
      <c r="A36" s="39">
        <v>18010100</v>
      </c>
      <c r="B36" s="29" t="s">
        <v>23</v>
      </c>
      <c r="C36" s="61">
        <f>D36</f>
        <v>141000</v>
      </c>
      <c r="D36" s="62">
        <f>16000+125000</f>
        <v>141000</v>
      </c>
      <c r="E36" s="62"/>
      <c r="F36" s="62"/>
      <c r="G36" s="17"/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34.15" customHeight="1">
      <c r="A37" s="39">
        <v>18010200</v>
      </c>
      <c r="B37" s="29" t="s">
        <v>24</v>
      </c>
      <c r="C37" s="61">
        <f t="shared" ref="C37:C45" si="0">D37</f>
        <v>885000</v>
      </c>
      <c r="D37" s="62">
        <f>3100000-2310000+95000</f>
        <v>885000</v>
      </c>
      <c r="E37" s="62"/>
      <c r="F37" s="62"/>
      <c r="G37" s="18"/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34.9" customHeight="1">
      <c r="A38" s="39">
        <v>18010300</v>
      </c>
      <c r="B38" s="29" t="s">
        <v>66</v>
      </c>
      <c r="C38" s="61">
        <f t="shared" si="0"/>
        <v>1814000</v>
      </c>
      <c r="D38" s="62">
        <f>3634000-1910000+90000</f>
        <v>1814000</v>
      </c>
      <c r="E38" s="62"/>
      <c r="F38" s="62"/>
      <c r="G38" s="18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6" customFormat="1" ht="36.6" customHeight="1">
      <c r="A39" s="39">
        <v>18010400</v>
      </c>
      <c r="B39" s="29" t="s">
        <v>25</v>
      </c>
      <c r="C39" s="61">
        <f t="shared" si="0"/>
        <v>10965000</v>
      </c>
      <c r="D39" s="62">
        <f>10250000+715000</f>
        <v>10965000</v>
      </c>
      <c r="E39" s="62"/>
      <c r="F39" s="62"/>
      <c r="G39" s="19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>
      <c r="A40" s="39">
        <v>18010500</v>
      </c>
      <c r="B40" s="29" t="s">
        <v>26</v>
      </c>
      <c r="C40" s="61">
        <f t="shared" si="0"/>
        <v>29400000</v>
      </c>
      <c r="D40" s="62">
        <f>30500000-1100000</f>
        <v>29400000</v>
      </c>
      <c r="E40" s="62"/>
      <c r="F40" s="62"/>
      <c r="G40" s="20"/>
      <c r="H40" s="15"/>
      <c r="I40" s="15"/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9">
        <v>18010600</v>
      </c>
      <c r="B41" s="29" t="s">
        <v>27</v>
      </c>
      <c r="C41" s="61">
        <f t="shared" si="0"/>
        <v>44001000</v>
      </c>
      <c r="D41" s="62">
        <f>41200000+2495000+316000-10000</f>
        <v>44001000</v>
      </c>
      <c r="E41" s="62"/>
      <c r="F41" s="62"/>
      <c r="G41" s="21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9">
        <v>18010700</v>
      </c>
      <c r="B42" s="29" t="s">
        <v>28</v>
      </c>
      <c r="C42" s="61">
        <f t="shared" si="0"/>
        <v>549000</v>
      </c>
      <c r="D42" s="52">
        <f>600000-95000+34000+10000</f>
        <v>549000</v>
      </c>
      <c r="E42" s="62"/>
      <c r="F42" s="62"/>
      <c r="G42" s="20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9">
        <v>18010900</v>
      </c>
      <c r="B43" s="29" t="s">
        <v>29</v>
      </c>
      <c r="C43" s="61">
        <f t="shared" si="0"/>
        <v>5850000</v>
      </c>
      <c r="D43" s="62">
        <f>7500000-1300000-350000</f>
        <v>5850000</v>
      </c>
      <c r="E43" s="62"/>
      <c r="F43" s="62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15.75">
      <c r="A44" s="39">
        <v>18011000</v>
      </c>
      <c r="B44" s="29" t="s">
        <v>30</v>
      </c>
      <c r="C44" s="61">
        <f t="shared" si="0"/>
        <v>25000</v>
      </c>
      <c r="D44" s="62">
        <v>25000</v>
      </c>
      <c r="E44" s="62"/>
      <c r="F44" s="62"/>
      <c r="G44" s="21">
        <f>G43-G41</f>
        <v>0</v>
      </c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5.75">
      <c r="A45" s="39">
        <v>18011100</v>
      </c>
      <c r="B45" s="29" t="s">
        <v>83</v>
      </c>
      <c r="C45" s="61">
        <f t="shared" si="0"/>
        <v>18750</v>
      </c>
      <c r="D45" s="62">
        <f>75000-56250</f>
        <v>18750</v>
      </c>
      <c r="E45" s="62"/>
      <c r="F45" s="62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customHeight="1">
      <c r="A46" s="39">
        <v>18020000</v>
      </c>
      <c r="B46" s="29" t="s">
        <v>32</v>
      </c>
      <c r="C46" s="61">
        <f>D46</f>
        <v>207600</v>
      </c>
      <c r="D46" s="62">
        <f>D47</f>
        <v>207600</v>
      </c>
      <c r="E46" s="62"/>
      <c r="F46" s="62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31.9" customHeight="1">
      <c r="A47" s="39">
        <v>18020100</v>
      </c>
      <c r="B47" s="29" t="s">
        <v>33</v>
      </c>
      <c r="C47" s="61">
        <f>D47</f>
        <v>207600</v>
      </c>
      <c r="D47" s="62">
        <f>216600-9000</f>
        <v>207600</v>
      </c>
      <c r="E47" s="62"/>
      <c r="F47" s="62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2" customFormat="1" ht="17.25" customHeight="1">
      <c r="A48" s="39">
        <v>18030000</v>
      </c>
      <c r="B48" s="29" t="s">
        <v>34</v>
      </c>
      <c r="C48" s="61">
        <f>D48+E48</f>
        <v>180250</v>
      </c>
      <c r="D48" s="62">
        <f>D49+D50</f>
        <v>180250</v>
      </c>
      <c r="E48" s="62"/>
      <c r="F48" s="62"/>
      <c r="G48" s="11"/>
      <c r="H48" s="11"/>
      <c r="I48" s="11"/>
      <c r="J48" s="11"/>
      <c r="K48" s="11"/>
      <c r="L48" s="11"/>
      <c r="IK48" s="11"/>
      <c r="IL48" s="11"/>
      <c r="IM48" s="11"/>
      <c r="IN48" s="11"/>
      <c r="IO48" s="11"/>
      <c r="IP48" s="11"/>
      <c r="IQ48" s="11"/>
      <c r="IR48" s="11"/>
      <c r="IS48" s="11"/>
    </row>
    <row r="49" spans="1:253" s="16" customFormat="1" ht="15.75">
      <c r="A49" s="39">
        <v>18030100</v>
      </c>
      <c r="B49" s="29" t="s">
        <v>35</v>
      </c>
      <c r="C49" s="61">
        <f t="shared" ref="C49:C54" si="1">D49</f>
        <v>152250</v>
      </c>
      <c r="D49" s="62">
        <f>121000+31250</f>
        <v>152250</v>
      </c>
      <c r="E49" s="62"/>
      <c r="F49" s="62"/>
      <c r="G49" s="15"/>
      <c r="H49" s="15"/>
      <c r="I49" s="15"/>
      <c r="J49" s="15"/>
      <c r="K49" s="15"/>
      <c r="L49" s="15"/>
      <c r="IK49" s="15"/>
      <c r="IL49" s="15"/>
      <c r="IM49" s="15"/>
      <c r="IN49" s="15"/>
      <c r="IO49" s="15"/>
      <c r="IP49" s="15"/>
      <c r="IQ49" s="15"/>
      <c r="IR49" s="15"/>
      <c r="IS49" s="15"/>
    </row>
    <row r="50" spans="1:253" s="16" customFormat="1" ht="15.75">
      <c r="A50" s="39">
        <v>18030200</v>
      </c>
      <c r="B50" s="29" t="s">
        <v>39</v>
      </c>
      <c r="C50" s="61">
        <f t="shared" si="1"/>
        <v>28000</v>
      </c>
      <c r="D50" s="62">
        <f>19000+9000</f>
        <v>28000</v>
      </c>
      <c r="E50" s="62"/>
      <c r="F50" s="62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2" customFormat="1" ht="18" customHeight="1">
      <c r="A51" s="41">
        <v>18050000</v>
      </c>
      <c r="B51" s="29" t="s">
        <v>36</v>
      </c>
      <c r="C51" s="61">
        <f t="shared" si="1"/>
        <v>78575490</v>
      </c>
      <c r="D51" s="62">
        <f>SUM(D52:D54)</f>
        <v>78575490</v>
      </c>
      <c r="E51" s="62"/>
      <c r="F51" s="62"/>
      <c r="G51" s="11"/>
      <c r="H51" s="11"/>
      <c r="I51" s="11"/>
      <c r="J51" s="11"/>
      <c r="K51" s="11"/>
      <c r="L51" s="11"/>
      <c r="IK51" s="11"/>
      <c r="IL51" s="11"/>
      <c r="IM51" s="11"/>
      <c r="IN51" s="11"/>
      <c r="IO51" s="11"/>
      <c r="IP51" s="11"/>
      <c r="IQ51" s="11"/>
      <c r="IR51" s="11"/>
      <c r="IS51" s="11"/>
    </row>
    <row r="52" spans="1:253" s="16" customFormat="1" ht="15" customHeight="1">
      <c r="A52" s="41">
        <v>18050300</v>
      </c>
      <c r="B52" s="29" t="s">
        <v>37</v>
      </c>
      <c r="C52" s="61">
        <f t="shared" si="1"/>
        <v>12632000</v>
      </c>
      <c r="D52" s="62">
        <f>12432000+200000</f>
        <v>12632000</v>
      </c>
      <c r="E52" s="62"/>
      <c r="F52" s="62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6" customFormat="1" ht="14.25" customHeight="1">
      <c r="A53" s="39">
        <v>18050400</v>
      </c>
      <c r="B53" s="29" t="s">
        <v>38</v>
      </c>
      <c r="C53" s="61">
        <f t="shared" si="1"/>
        <v>65880000</v>
      </c>
      <c r="D53" s="62">
        <f>67000000-220000-900000</f>
        <v>65880000</v>
      </c>
      <c r="E53" s="62"/>
      <c r="F53" s="62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49.15" customHeight="1">
      <c r="A54" s="39">
        <v>18050500</v>
      </c>
      <c r="B54" s="42" t="s">
        <v>94</v>
      </c>
      <c r="C54" s="61">
        <f t="shared" si="1"/>
        <v>63490</v>
      </c>
      <c r="D54" s="62">
        <f>68000-4510</f>
        <v>63490</v>
      </c>
      <c r="E54" s="62"/>
      <c r="F54" s="62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2" customFormat="1" ht="15.75">
      <c r="A55" s="39">
        <v>19000000</v>
      </c>
      <c r="B55" s="30" t="s">
        <v>5</v>
      </c>
      <c r="C55" s="61">
        <f>C56</f>
        <v>701115</v>
      </c>
      <c r="D55" s="61">
        <f>D56</f>
        <v>0</v>
      </c>
      <c r="E55" s="61">
        <f>E56</f>
        <v>701115</v>
      </c>
      <c r="F55" s="61"/>
      <c r="G55" s="11"/>
      <c r="H55" s="11"/>
      <c r="I55" s="11"/>
      <c r="J55" s="11"/>
      <c r="K55" s="11"/>
      <c r="L55" s="11"/>
      <c r="IK55" s="11"/>
      <c r="IL55" s="11"/>
      <c r="IM55" s="11"/>
      <c r="IN55" s="11"/>
      <c r="IO55" s="11"/>
      <c r="IP55" s="11"/>
      <c r="IQ55" s="11"/>
      <c r="IR55" s="11"/>
      <c r="IS55" s="11"/>
    </row>
    <row r="56" spans="1:253" s="16" customFormat="1" ht="15.75">
      <c r="A56" s="39">
        <v>19010000</v>
      </c>
      <c r="B56" s="30" t="s">
        <v>31</v>
      </c>
      <c r="C56" s="61">
        <f>D56+E56</f>
        <v>701115</v>
      </c>
      <c r="D56" s="62">
        <f>SUM(D57:D59)</f>
        <v>0</v>
      </c>
      <c r="E56" s="62">
        <f>SUM(E57:E59)</f>
        <v>701115</v>
      </c>
      <c r="F56" s="62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52.9" customHeight="1">
      <c r="A57" s="39">
        <v>19010100</v>
      </c>
      <c r="B57" s="29" t="s">
        <v>91</v>
      </c>
      <c r="C57" s="61">
        <f>D57+E57</f>
        <v>88750</v>
      </c>
      <c r="D57" s="62"/>
      <c r="E57" s="62">
        <f>125000-34500-1750</f>
        <v>88750</v>
      </c>
      <c r="F57" s="62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31.9" customHeight="1">
      <c r="A58" s="39">
        <v>19010200</v>
      </c>
      <c r="B58" s="29" t="s">
        <v>81</v>
      </c>
      <c r="C58" s="61">
        <f>D58+E58</f>
        <v>77600</v>
      </c>
      <c r="D58" s="62"/>
      <c r="E58" s="62">
        <f>48000+60000-53100+22700</f>
        <v>77600</v>
      </c>
      <c r="F58" s="62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49.15" customHeight="1">
      <c r="A59" s="39">
        <v>19010300</v>
      </c>
      <c r="B59" s="29" t="s">
        <v>82</v>
      </c>
      <c r="C59" s="61">
        <f>D59+E59</f>
        <v>534765</v>
      </c>
      <c r="D59" s="62"/>
      <c r="E59" s="62">
        <f>417000+138715-20950</f>
        <v>534765</v>
      </c>
      <c r="F59" s="62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23" customFormat="1" ht="15.75">
      <c r="A60" s="39">
        <v>20000000</v>
      </c>
      <c r="B60" s="30" t="s">
        <v>6</v>
      </c>
      <c r="C60" s="61">
        <f>C61+C70+C83+C89</f>
        <v>47126022</v>
      </c>
      <c r="D60" s="61">
        <f>D61+D70+D83+D89</f>
        <v>9903000</v>
      </c>
      <c r="E60" s="61">
        <f>E61+E70+E83+E89</f>
        <v>37203757</v>
      </c>
      <c r="F60" s="61">
        <f>F61+F70+F83+F89</f>
        <v>0</v>
      </c>
      <c r="G60" s="22"/>
      <c r="H60" s="33"/>
      <c r="I60" s="22"/>
      <c r="J60" s="22"/>
      <c r="K60" s="22"/>
      <c r="L60" s="22"/>
      <c r="IK60" s="22"/>
      <c r="IL60" s="22"/>
      <c r="IM60" s="22"/>
      <c r="IN60" s="22"/>
      <c r="IO60" s="22"/>
      <c r="IP60" s="22"/>
      <c r="IQ60" s="22"/>
      <c r="IR60" s="22"/>
      <c r="IS60" s="22"/>
    </row>
    <row r="61" spans="1:253" s="12" customFormat="1" ht="15.75">
      <c r="A61" s="39">
        <v>21000000</v>
      </c>
      <c r="B61" s="30" t="s">
        <v>7</v>
      </c>
      <c r="C61" s="61">
        <f>C62+C65+C64</f>
        <v>496590</v>
      </c>
      <c r="D61" s="61">
        <f>D62+D65+D64</f>
        <v>496590</v>
      </c>
      <c r="E61" s="61"/>
      <c r="F61" s="61"/>
      <c r="G61" s="11"/>
      <c r="H61" s="11"/>
      <c r="I61" s="11"/>
      <c r="J61" s="11"/>
      <c r="K61" s="11"/>
      <c r="L61" s="11"/>
      <c r="IK61" s="11"/>
      <c r="IL61" s="11"/>
      <c r="IM61" s="11"/>
      <c r="IN61" s="11"/>
      <c r="IO61" s="11"/>
      <c r="IP61" s="11"/>
      <c r="IQ61" s="11"/>
      <c r="IR61" s="11"/>
      <c r="IS61" s="11"/>
    </row>
    <row r="62" spans="1:253" s="12" customFormat="1" ht="63.6" customHeight="1">
      <c r="A62" s="39">
        <v>21010000</v>
      </c>
      <c r="B62" s="29" t="s">
        <v>100</v>
      </c>
      <c r="C62" s="61">
        <f>C63</f>
        <v>25000</v>
      </c>
      <c r="D62" s="61">
        <f>D63</f>
        <v>25000</v>
      </c>
      <c r="E62" s="61"/>
      <c r="F62" s="61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6" customFormat="1" ht="34.9" customHeight="1">
      <c r="A63" s="39">
        <v>21010300</v>
      </c>
      <c r="B63" s="29" t="s">
        <v>64</v>
      </c>
      <c r="C63" s="61">
        <f t="shared" ref="C63:C93" si="2">D63+E63</f>
        <v>25000</v>
      </c>
      <c r="D63" s="62">
        <f>25000</f>
        <v>25000</v>
      </c>
      <c r="E63" s="62"/>
      <c r="F63" s="62"/>
      <c r="G63" s="15"/>
      <c r="H63" s="15"/>
      <c r="I63" s="15"/>
      <c r="J63" s="15"/>
      <c r="K63" s="15"/>
      <c r="L63" s="15"/>
      <c r="IK63" s="15"/>
      <c r="IL63" s="15"/>
      <c r="IM63" s="15"/>
      <c r="IN63" s="15"/>
      <c r="IO63" s="15"/>
      <c r="IP63" s="15"/>
      <c r="IQ63" s="15"/>
      <c r="IR63" s="15"/>
      <c r="IS63" s="15"/>
    </row>
    <row r="64" spans="1:253" s="16" customFormat="1" ht="15" customHeight="1">
      <c r="A64" s="39">
        <v>21050000</v>
      </c>
      <c r="B64" s="29" t="s">
        <v>67</v>
      </c>
      <c r="C64" s="61">
        <f t="shared" si="2"/>
        <v>189590</v>
      </c>
      <c r="D64" s="62">
        <v>189590</v>
      </c>
      <c r="E64" s="62"/>
      <c r="F64" s="62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2" customFormat="1" ht="15.6" customHeight="1">
      <c r="A65" s="39">
        <v>21080000</v>
      </c>
      <c r="B65" s="30" t="s">
        <v>40</v>
      </c>
      <c r="C65" s="61">
        <f t="shared" si="2"/>
        <v>282000</v>
      </c>
      <c r="D65" s="62">
        <f>D67+D68+D69</f>
        <v>282000</v>
      </c>
      <c r="E65" s="62"/>
      <c r="F65" s="62"/>
      <c r="G65" s="11"/>
      <c r="H65" s="11"/>
      <c r="I65" s="11"/>
      <c r="J65" s="11"/>
      <c r="K65" s="11"/>
      <c r="L65" s="11"/>
      <c r="IK65" s="11"/>
      <c r="IL65" s="11"/>
      <c r="IM65" s="11"/>
      <c r="IN65" s="11"/>
      <c r="IO65" s="11"/>
      <c r="IP65" s="11"/>
      <c r="IQ65" s="11"/>
      <c r="IR65" s="11"/>
      <c r="IS65" s="11"/>
    </row>
    <row r="66" spans="1:253" s="16" customFormat="1" ht="18.600000000000001" hidden="1" customHeight="1">
      <c r="A66" s="39">
        <v>21080500</v>
      </c>
      <c r="B66" s="30" t="s">
        <v>40</v>
      </c>
      <c r="C66" s="61">
        <f t="shared" si="2"/>
        <v>0</v>
      </c>
      <c r="D66" s="62"/>
      <c r="E66" s="62"/>
      <c r="F66" s="62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6" customFormat="1" ht="19.149999999999999" customHeight="1">
      <c r="A67" s="39">
        <v>21081100</v>
      </c>
      <c r="B67" s="30" t="s">
        <v>57</v>
      </c>
      <c r="C67" s="61">
        <f t="shared" si="2"/>
        <v>53000</v>
      </c>
      <c r="D67" s="62">
        <f>310000-275000+18000</f>
        <v>53000</v>
      </c>
      <c r="E67" s="62"/>
      <c r="F67" s="62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36.6" customHeight="1">
      <c r="A68" s="39">
        <v>21081500</v>
      </c>
      <c r="B68" s="31" t="s">
        <v>71</v>
      </c>
      <c r="C68" s="61">
        <f t="shared" si="2"/>
        <v>210000</v>
      </c>
      <c r="D68" s="62">
        <f>340000-170000+40000</f>
        <v>210000</v>
      </c>
      <c r="E68" s="62"/>
      <c r="F68" s="62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2" customFormat="1" ht="61.9" customHeight="1">
      <c r="A69" s="39">
        <v>21082400</v>
      </c>
      <c r="B69" s="31" t="s">
        <v>104</v>
      </c>
      <c r="C69" s="61">
        <f t="shared" si="2"/>
        <v>19000</v>
      </c>
      <c r="D69" s="62">
        <f>50000-31000</f>
        <v>19000</v>
      </c>
      <c r="E69" s="62"/>
      <c r="F69" s="62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2" customFormat="1" ht="33" customHeight="1">
      <c r="A70" s="39">
        <v>22000000</v>
      </c>
      <c r="B70" s="30" t="s">
        <v>8</v>
      </c>
      <c r="C70" s="61">
        <f>C71+C77+C79</f>
        <v>7050375</v>
      </c>
      <c r="D70" s="61">
        <f>D71+D77+D79</f>
        <v>7052855</v>
      </c>
      <c r="E70" s="61"/>
      <c r="F70" s="61"/>
      <c r="G70" s="11"/>
      <c r="H70" s="11"/>
      <c r="I70" s="11"/>
      <c r="J70" s="11"/>
      <c r="K70" s="11"/>
      <c r="L70" s="11"/>
      <c r="IK70" s="11"/>
      <c r="IL70" s="11"/>
      <c r="IM70" s="11"/>
      <c r="IN70" s="11"/>
      <c r="IO70" s="11"/>
      <c r="IP70" s="11"/>
      <c r="IQ70" s="11"/>
      <c r="IR70" s="11"/>
      <c r="IS70" s="11"/>
    </row>
    <row r="71" spans="1:253" s="12" customFormat="1" ht="15.75" customHeight="1">
      <c r="A71" s="39">
        <v>22010000</v>
      </c>
      <c r="B71" s="30" t="s">
        <v>55</v>
      </c>
      <c r="C71" s="61">
        <f>SUM(C72:C75)</f>
        <v>5480375</v>
      </c>
      <c r="D71" s="61">
        <f>SUM(D72:D76)</f>
        <v>5482855</v>
      </c>
      <c r="E71" s="61"/>
      <c r="F71" s="61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48.6" customHeight="1">
      <c r="A72" s="39">
        <v>22010200</v>
      </c>
      <c r="B72" s="43" t="s">
        <v>92</v>
      </c>
      <c r="C72" s="61">
        <f t="shared" si="2"/>
        <v>45650</v>
      </c>
      <c r="D72" s="61">
        <v>45650</v>
      </c>
      <c r="E72" s="61"/>
      <c r="F72" s="61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2" customFormat="1" ht="34.5" customHeight="1">
      <c r="A73" s="39">
        <v>22010300</v>
      </c>
      <c r="B73" s="30" t="s">
        <v>80</v>
      </c>
      <c r="C73" s="61">
        <f t="shared" si="2"/>
        <v>197000</v>
      </c>
      <c r="D73" s="61">
        <f>210000-13000</f>
        <v>197000</v>
      </c>
      <c r="E73" s="61"/>
      <c r="F73" s="61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6" customFormat="1" ht="23.45" customHeight="1">
      <c r="A74" s="39">
        <v>22012500</v>
      </c>
      <c r="B74" s="30" t="s">
        <v>56</v>
      </c>
      <c r="C74" s="61">
        <f t="shared" si="2"/>
        <v>5118425</v>
      </c>
      <c r="D74" s="61">
        <f>4500000+628335-9910</f>
        <v>5118425</v>
      </c>
      <c r="E74" s="61"/>
      <c r="F74" s="61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6" customFormat="1" ht="33" customHeight="1">
      <c r="A75" s="39">
        <v>22012600</v>
      </c>
      <c r="B75" s="30" t="s">
        <v>68</v>
      </c>
      <c r="C75" s="61">
        <f t="shared" si="2"/>
        <v>119300</v>
      </c>
      <c r="D75" s="61">
        <f>230000-110700</f>
        <v>119300</v>
      </c>
      <c r="E75" s="61"/>
      <c r="F75" s="61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16" customFormat="1" ht="79.150000000000006" customHeight="1">
      <c r="A76" s="39">
        <v>22012900</v>
      </c>
      <c r="B76" s="79" t="s">
        <v>95</v>
      </c>
      <c r="C76" s="61">
        <f t="shared" si="2"/>
        <v>2480</v>
      </c>
      <c r="D76" s="61">
        <v>2480</v>
      </c>
      <c r="E76" s="61"/>
      <c r="F76" s="61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34.15" customHeight="1">
      <c r="A77" s="39">
        <v>22080000</v>
      </c>
      <c r="B77" s="29" t="s">
        <v>41</v>
      </c>
      <c r="C77" s="61">
        <f>C78</f>
        <v>850000</v>
      </c>
      <c r="D77" s="62">
        <f>D78</f>
        <v>850000</v>
      </c>
      <c r="E77" s="62"/>
      <c r="F77" s="62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33.6" customHeight="1">
      <c r="A78" s="39">
        <v>22080400</v>
      </c>
      <c r="B78" s="29" t="s">
        <v>103</v>
      </c>
      <c r="C78" s="61">
        <f t="shared" si="2"/>
        <v>850000</v>
      </c>
      <c r="D78" s="62">
        <v>850000</v>
      </c>
      <c r="E78" s="62"/>
      <c r="F78" s="62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2" customFormat="1" ht="18" customHeight="1">
      <c r="A79" s="39">
        <v>22090000</v>
      </c>
      <c r="B79" s="29" t="s">
        <v>42</v>
      </c>
      <c r="C79" s="61">
        <f>SUM(C80:C82)</f>
        <v>720000</v>
      </c>
      <c r="D79" s="61">
        <f>SUM(D80:D82)</f>
        <v>720000</v>
      </c>
      <c r="E79" s="61"/>
      <c r="F79" s="61"/>
      <c r="G79" s="11"/>
      <c r="H79" s="11"/>
      <c r="I79" s="11"/>
      <c r="J79" s="11"/>
      <c r="K79" s="11"/>
      <c r="L79" s="11"/>
      <c r="IK79" s="11"/>
      <c r="IL79" s="11"/>
      <c r="IM79" s="11"/>
      <c r="IN79" s="11"/>
      <c r="IO79" s="11"/>
      <c r="IP79" s="11"/>
      <c r="IQ79" s="11"/>
      <c r="IR79" s="11"/>
      <c r="IS79" s="11"/>
    </row>
    <row r="80" spans="1:253" s="16" customFormat="1" ht="34.15" customHeight="1">
      <c r="A80" s="39">
        <v>22090100</v>
      </c>
      <c r="B80" s="29" t="s">
        <v>43</v>
      </c>
      <c r="C80" s="61">
        <f t="shared" si="2"/>
        <v>680000</v>
      </c>
      <c r="D80" s="62">
        <f>970000-290000</f>
        <v>680000</v>
      </c>
      <c r="E80" s="62"/>
      <c r="F80" s="62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6" customFormat="1" ht="21" hidden="1" customHeight="1">
      <c r="A81" s="39">
        <v>22090200</v>
      </c>
      <c r="B81" s="35" t="s">
        <v>96</v>
      </c>
      <c r="C81" s="61">
        <f t="shared" si="2"/>
        <v>0</v>
      </c>
      <c r="D81" s="62"/>
      <c r="E81" s="62"/>
      <c r="F81" s="62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6" customFormat="1" ht="32.450000000000003" customHeight="1">
      <c r="A82" s="39">
        <v>22090400</v>
      </c>
      <c r="B82" s="29" t="s">
        <v>75</v>
      </c>
      <c r="C82" s="61">
        <f t="shared" si="2"/>
        <v>40000</v>
      </c>
      <c r="D82" s="62">
        <f>30000+10000</f>
        <v>40000</v>
      </c>
      <c r="E82" s="62"/>
      <c r="F82" s="62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2" customFormat="1" ht="15.6" customHeight="1">
      <c r="A83" s="39">
        <v>24000000</v>
      </c>
      <c r="B83" s="29" t="s">
        <v>48</v>
      </c>
      <c r="C83" s="61">
        <f>C84+C85+C88</f>
        <v>2389185</v>
      </c>
      <c r="D83" s="61">
        <f>D84+D85</f>
        <v>2353555</v>
      </c>
      <c r="E83" s="61">
        <f>E85+E88</f>
        <v>13885</v>
      </c>
      <c r="F83" s="61">
        <f>F85+F88</f>
        <v>0</v>
      </c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48.6" customHeight="1">
      <c r="A84" s="39">
        <v>24030000</v>
      </c>
      <c r="B84" s="29" t="s">
        <v>59</v>
      </c>
      <c r="C84" s="61">
        <f>D84+E84</f>
        <v>1810</v>
      </c>
      <c r="D84" s="61">
        <v>1810</v>
      </c>
      <c r="E84" s="61"/>
      <c r="F84" s="61"/>
      <c r="G84" s="8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2" customFormat="1" ht="16.149999999999999" customHeight="1">
      <c r="A85" s="39">
        <v>24060000</v>
      </c>
      <c r="B85" s="29" t="s">
        <v>50</v>
      </c>
      <c r="C85" s="61">
        <f>C87+C86+C88</f>
        <v>2365630</v>
      </c>
      <c r="D85" s="61">
        <f>D86+D87+D88</f>
        <v>2351745</v>
      </c>
      <c r="E85" s="61">
        <f>E86+E87</f>
        <v>13885</v>
      </c>
      <c r="F85" s="61"/>
      <c r="G85" s="11"/>
      <c r="H85" s="11"/>
      <c r="I85" s="11"/>
      <c r="J85" s="11"/>
      <c r="K85" s="11"/>
      <c r="L85" s="11"/>
      <c r="IK85" s="11"/>
      <c r="IL85" s="11"/>
      <c r="IM85" s="11"/>
      <c r="IN85" s="11"/>
      <c r="IO85" s="11"/>
      <c r="IP85" s="11"/>
      <c r="IQ85" s="11"/>
      <c r="IR85" s="11"/>
      <c r="IS85" s="11"/>
    </row>
    <row r="86" spans="1:253" s="12" customFormat="1" ht="16.149999999999999" customHeight="1">
      <c r="A86" s="39">
        <v>24060300</v>
      </c>
      <c r="B86" s="29" t="s">
        <v>50</v>
      </c>
      <c r="C86" s="61">
        <f>D86+E86</f>
        <v>2330000</v>
      </c>
      <c r="D86" s="61">
        <v>2330000</v>
      </c>
      <c r="E86" s="61"/>
      <c r="F86" s="61"/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6" customFormat="1" ht="47.45" customHeight="1">
      <c r="A87" s="39">
        <v>24062100</v>
      </c>
      <c r="B87" s="29" t="s">
        <v>49</v>
      </c>
      <c r="C87" s="61">
        <f>D87+E87</f>
        <v>13885</v>
      </c>
      <c r="D87" s="62"/>
      <c r="E87" s="62">
        <f>65000-51115</f>
        <v>13885</v>
      </c>
      <c r="F87" s="62"/>
      <c r="G87" s="15"/>
      <c r="H87" s="15"/>
      <c r="I87" s="15"/>
      <c r="J87" s="15"/>
      <c r="K87" s="15"/>
      <c r="L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2" customFormat="1" ht="111" customHeight="1">
      <c r="A88" s="39">
        <v>24062200</v>
      </c>
      <c r="B88" s="29" t="s">
        <v>126</v>
      </c>
      <c r="C88" s="61">
        <f>D88+E88</f>
        <v>21745</v>
      </c>
      <c r="D88" s="62">
        <v>21745</v>
      </c>
      <c r="E88" s="62"/>
      <c r="F88" s="62"/>
      <c r="G88" s="11"/>
      <c r="H88" s="11"/>
      <c r="I88" s="11"/>
      <c r="J88" s="11"/>
      <c r="K88" s="11"/>
      <c r="L88" s="11"/>
      <c r="IK88" s="11"/>
      <c r="IL88" s="11"/>
      <c r="IM88" s="11"/>
      <c r="IN88" s="11"/>
      <c r="IO88" s="11"/>
      <c r="IP88" s="11"/>
      <c r="IQ88" s="11"/>
      <c r="IR88" s="11"/>
      <c r="IS88" s="11"/>
    </row>
    <row r="89" spans="1:253" s="12" customFormat="1" ht="16.149999999999999" customHeight="1">
      <c r="A89" s="39">
        <v>25000000</v>
      </c>
      <c r="B89" s="30" t="s">
        <v>13</v>
      </c>
      <c r="C89" s="61">
        <f>C90</f>
        <v>37189872</v>
      </c>
      <c r="D89" s="61"/>
      <c r="E89" s="61">
        <f>E90</f>
        <v>37189872</v>
      </c>
      <c r="F89" s="61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2" customFormat="1" ht="30" customHeight="1">
      <c r="A90" s="39">
        <v>25010000</v>
      </c>
      <c r="B90" s="29" t="s">
        <v>44</v>
      </c>
      <c r="C90" s="61">
        <f t="shared" si="2"/>
        <v>37189872</v>
      </c>
      <c r="D90" s="61">
        <f>D91+D92+D93</f>
        <v>0</v>
      </c>
      <c r="E90" s="61">
        <f>E91+E92+E93</f>
        <v>37189872</v>
      </c>
      <c r="F90" s="61"/>
      <c r="G90" s="11"/>
      <c r="H90" s="11"/>
      <c r="I90" s="11"/>
      <c r="J90" s="11"/>
      <c r="K90" s="11"/>
      <c r="L90" s="11"/>
      <c r="IK90" s="11"/>
      <c r="IL90" s="11"/>
      <c r="IM90" s="11"/>
      <c r="IN90" s="11"/>
      <c r="IO90" s="11"/>
      <c r="IP90" s="11"/>
      <c r="IQ90" s="11"/>
      <c r="IR90" s="11"/>
      <c r="IS90" s="11"/>
    </row>
    <row r="91" spans="1:253" s="16" customFormat="1" ht="31.5">
      <c r="A91" s="39">
        <v>25010100</v>
      </c>
      <c r="B91" s="29" t="s">
        <v>45</v>
      </c>
      <c r="C91" s="61">
        <f t="shared" si="2"/>
        <v>36911263</v>
      </c>
      <c r="D91" s="61"/>
      <c r="E91" s="61">
        <v>36911263</v>
      </c>
      <c r="F91" s="61"/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6" customFormat="1" ht="47.25">
      <c r="A92" s="39">
        <v>25010300</v>
      </c>
      <c r="B92" s="29" t="s">
        <v>98</v>
      </c>
      <c r="C92" s="61">
        <f>D92+E92</f>
        <v>275109</v>
      </c>
      <c r="D92" s="61"/>
      <c r="E92" s="61">
        <v>275109</v>
      </c>
      <c r="F92" s="61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6" customFormat="1" ht="36.6" customHeight="1">
      <c r="A93" s="39">
        <v>25010400</v>
      </c>
      <c r="B93" s="29" t="s">
        <v>105</v>
      </c>
      <c r="C93" s="61">
        <f t="shared" si="2"/>
        <v>3500</v>
      </c>
      <c r="D93" s="61"/>
      <c r="E93" s="61">
        <v>3500</v>
      </c>
      <c r="F93" s="61"/>
      <c r="G93" s="15"/>
      <c r="H93" s="15"/>
      <c r="I93" s="15"/>
      <c r="J93" s="15"/>
      <c r="K93" s="15"/>
      <c r="L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2" customFormat="1" ht="18.75" customHeight="1">
      <c r="A94" s="39">
        <v>30000000</v>
      </c>
      <c r="B94" s="29" t="s">
        <v>51</v>
      </c>
      <c r="C94" s="61">
        <f>C95+C100</f>
        <v>300000</v>
      </c>
      <c r="D94" s="61">
        <f>D95</f>
        <v>0</v>
      </c>
      <c r="E94" s="61">
        <f>E95+E100</f>
        <v>300000</v>
      </c>
      <c r="F94" s="61">
        <f>F95+F100</f>
        <v>300000</v>
      </c>
      <c r="G94" s="11"/>
      <c r="H94" s="11"/>
      <c r="I94" s="11"/>
      <c r="J94" s="11"/>
      <c r="K94" s="11"/>
      <c r="L94" s="11"/>
      <c r="IK94" s="11"/>
      <c r="IL94" s="11"/>
      <c r="IM94" s="11"/>
      <c r="IN94" s="11"/>
      <c r="IO94" s="11"/>
      <c r="IP94" s="11"/>
      <c r="IQ94" s="11"/>
      <c r="IR94" s="11"/>
      <c r="IS94" s="11"/>
    </row>
    <row r="95" spans="1:253" s="12" customFormat="1" ht="18" customHeight="1">
      <c r="A95" s="39">
        <v>31000000</v>
      </c>
      <c r="B95" s="29" t="s">
        <v>60</v>
      </c>
      <c r="C95" s="61">
        <f>C99</f>
        <v>100000</v>
      </c>
      <c r="D95" s="61">
        <f>D96+D98</f>
        <v>0</v>
      </c>
      <c r="E95" s="61">
        <f>E99</f>
        <v>100000</v>
      </c>
      <c r="F95" s="61">
        <f>F99</f>
        <v>100000</v>
      </c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2" customFormat="1" ht="48.6" hidden="1" customHeight="1">
      <c r="A96" s="39">
        <v>31010000</v>
      </c>
      <c r="B96" s="29" t="s">
        <v>61</v>
      </c>
      <c r="C96" s="61">
        <f>D96+E96</f>
        <v>0</v>
      </c>
      <c r="D96" s="61">
        <f>D97</f>
        <v>0</v>
      </c>
      <c r="E96" s="61"/>
      <c r="F96" s="61"/>
      <c r="G96" s="11"/>
      <c r="H96" s="11"/>
      <c r="I96" s="11"/>
      <c r="J96" s="11"/>
      <c r="K96" s="11"/>
      <c r="L96" s="11"/>
      <c r="IK96" s="11"/>
      <c r="IL96" s="11"/>
      <c r="IM96" s="11"/>
      <c r="IN96" s="11"/>
      <c r="IO96" s="11"/>
      <c r="IP96" s="11"/>
      <c r="IQ96" s="11"/>
      <c r="IR96" s="11"/>
      <c r="IS96" s="11"/>
    </row>
    <row r="97" spans="1:253" s="16" customFormat="1" ht="63" hidden="1">
      <c r="A97" s="39">
        <v>31010200</v>
      </c>
      <c r="B97" s="29" t="s">
        <v>62</v>
      </c>
      <c r="C97" s="61">
        <f>D97</f>
        <v>0</v>
      </c>
      <c r="D97" s="61"/>
      <c r="E97" s="61"/>
      <c r="F97" s="61"/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6" customFormat="1" ht="31.5" hidden="1">
      <c r="A98" s="39">
        <v>31020000</v>
      </c>
      <c r="B98" s="29" t="s">
        <v>63</v>
      </c>
      <c r="C98" s="61">
        <f>D98</f>
        <v>0</v>
      </c>
      <c r="D98" s="61">
        <f>3000-3000</f>
        <v>0</v>
      </c>
      <c r="E98" s="61"/>
      <c r="F98" s="61"/>
      <c r="G98" s="15"/>
      <c r="H98" s="15"/>
      <c r="I98" s="15"/>
      <c r="J98" s="15"/>
      <c r="K98" s="15"/>
      <c r="L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2" customFormat="1" ht="34.9" customHeight="1">
      <c r="A99" s="39">
        <v>31030000</v>
      </c>
      <c r="B99" s="29" t="s">
        <v>65</v>
      </c>
      <c r="C99" s="61">
        <f>D99+E99</f>
        <v>100000</v>
      </c>
      <c r="D99" s="61"/>
      <c r="E99" s="61">
        <v>100000</v>
      </c>
      <c r="F99" s="61">
        <f>E99</f>
        <v>100000</v>
      </c>
      <c r="G99" s="11"/>
      <c r="H99" s="11"/>
      <c r="I99" s="11"/>
      <c r="J99" s="11"/>
      <c r="K99" s="11"/>
      <c r="L99" s="11"/>
      <c r="IK99" s="11"/>
      <c r="IL99" s="11"/>
      <c r="IM99" s="11"/>
      <c r="IN99" s="11"/>
      <c r="IO99" s="11"/>
      <c r="IP99" s="11"/>
      <c r="IQ99" s="11"/>
      <c r="IR99" s="11"/>
      <c r="IS99" s="11"/>
    </row>
    <row r="100" spans="1:253" s="12" customFormat="1" ht="18" customHeight="1">
      <c r="A100" s="39">
        <v>33000000</v>
      </c>
      <c r="B100" s="30" t="s">
        <v>53</v>
      </c>
      <c r="C100" s="61">
        <f t="shared" ref="C100:F101" si="3">C101</f>
        <v>200000</v>
      </c>
      <c r="D100" s="61"/>
      <c r="E100" s="61">
        <f t="shared" si="3"/>
        <v>200000</v>
      </c>
      <c r="F100" s="61">
        <f>F101</f>
        <v>200000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2" customFormat="1" ht="18" customHeight="1">
      <c r="A101" s="39">
        <v>33010000</v>
      </c>
      <c r="B101" s="29" t="s">
        <v>54</v>
      </c>
      <c r="C101" s="61">
        <f t="shared" si="3"/>
        <v>200000</v>
      </c>
      <c r="D101" s="61"/>
      <c r="E101" s="61">
        <f t="shared" si="3"/>
        <v>200000</v>
      </c>
      <c r="F101" s="61">
        <f t="shared" si="3"/>
        <v>200000</v>
      </c>
      <c r="G101" s="11"/>
      <c r="H101" s="11"/>
      <c r="I101" s="11"/>
      <c r="J101" s="11"/>
      <c r="K101" s="11"/>
      <c r="L101" s="11"/>
      <c r="IK101" s="11"/>
      <c r="IL101" s="11"/>
      <c r="IM101" s="11"/>
      <c r="IN101" s="11"/>
      <c r="IO101" s="11"/>
      <c r="IP101" s="11"/>
      <c r="IQ101" s="11"/>
      <c r="IR101" s="11"/>
      <c r="IS101" s="11"/>
    </row>
    <row r="102" spans="1:253" s="16" customFormat="1" ht="48" customHeight="1">
      <c r="A102" s="39">
        <v>33010100</v>
      </c>
      <c r="B102" s="29" t="s">
        <v>58</v>
      </c>
      <c r="C102" s="61">
        <f t="shared" ref="C102:C112" si="4">D102+E102</f>
        <v>200000</v>
      </c>
      <c r="D102" s="61"/>
      <c r="E102" s="61">
        <v>200000</v>
      </c>
      <c r="F102" s="61">
        <f>E102</f>
        <v>200000</v>
      </c>
      <c r="G102" s="15"/>
      <c r="H102" s="15"/>
      <c r="I102" s="15"/>
      <c r="J102" s="15"/>
      <c r="K102" s="15"/>
      <c r="L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6" customFormat="1" ht="15.75">
      <c r="A103" s="39">
        <v>50000000</v>
      </c>
      <c r="B103" s="30" t="s">
        <v>9</v>
      </c>
      <c r="C103" s="61">
        <f t="shared" si="4"/>
        <v>2100000</v>
      </c>
      <c r="D103" s="62"/>
      <c r="E103" s="62">
        <f>E104</f>
        <v>2100000</v>
      </c>
      <c r="F103" s="62"/>
      <c r="G103" s="15"/>
      <c r="H103" s="24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31.15" customHeight="1">
      <c r="A104" s="39">
        <v>50110000</v>
      </c>
      <c r="B104" s="29" t="s">
        <v>46</v>
      </c>
      <c r="C104" s="61">
        <f t="shared" si="4"/>
        <v>2100000</v>
      </c>
      <c r="D104" s="62"/>
      <c r="E104" s="62">
        <v>2100000</v>
      </c>
      <c r="F104" s="62"/>
      <c r="G104" s="15"/>
      <c r="H104" s="25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6" customFormat="1" ht="26.25" customHeight="1">
      <c r="A105" s="39"/>
      <c r="B105" s="45" t="s">
        <v>87</v>
      </c>
      <c r="C105" s="78">
        <f t="shared" si="4"/>
        <v>722683572</v>
      </c>
      <c r="D105" s="78">
        <f>D14+D60+D94+D103</f>
        <v>682378700</v>
      </c>
      <c r="E105" s="63">
        <f>E14+E60+E94+E103</f>
        <v>40304872</v>
      </c>
      <c r="F105" s="63">
        <f>F94</f>
        <v>300000</v>
      </c>
      <c r="G105" s="15"/>
      <c r="H105" s="80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23" customFormat="1" ht="15" customHeight="1">
      <c r="A106" s="39">
        <v>40000000</v>
      </c>
      <c r="B106" s="30" t="s">
        <v>1</v>
      </c>
      <c r="C106" s="77">
        <f t="shared" si="4"/>
        <v>251729745.43000001</v>
      </c>
      <c r="D106" s="77">
        <f>D107</f>
        <v>251729745.43000001</v>
      </c>
      <c r="E106" s="61">
        <f>E107</f>
        <v>0</v>
      </c>
      <c r="F106" s="61">
        <f>F107</f>
        <v>0</v>
      </c>
      <c r="G106" s="22"/>
      <c r="H106" s="22"/>
      <c r="I106" s="33"/>
      <c r="J106" s="22"/>
      <c r="K106" s="22"/>
      <c r="L106" s="22"/>
      <c r="IK106" s="22"/>
      <c r="IL106" s="22"/>
      <c r="IM106" s="22"/>
      <c r="IN106" s="22"/>
      <c r="IO106" s="22"/>
      <c r="IP106" s="22"/>
      <c r="IQ106" s="22"/>
      <c r="IR106" s="22"/>
      <c r="IS106" s="22"/>
    </row>
    <row r="107" spans="1:253" s="12" customFormat="1" ht="15.75" customHeight="1">
      <c r="A107" s="39">
        <v>41000000</v>
      </c>
      <c r="B107" s="30" t="s">
        <v>14</v>
      </c>
      <c r="C107" s="77">
        <f t="shared" si="4"/>
        <v>251729745.43000001</v>
      </c>
      <c r="D107" s="76">
        <f>D108+D111+D113+D116</f>
        <v>251729745.43000001</v>
      </c>
      <c r="E107" s="52">
        <f>E108+E111+E116</f>
        <v>0</v>
      </c>
      <c r="F107" s="52">
        <f>F108+F111++F116</f>
        <v>0</v>
      </c>
      <c r="G107" s="11"/>
      <c r="H107" s="11"/>
      <c r="I107" s="11"/>
      <c r="J107" s="11"/>
      <c r="K107" s="11"/>
      <c r="L107" s="11"/>
      <c r="IK107" s="11"/>
      <c r="IL107" s="11"/>
      <c r="IM107" s="11"/>
      <c r="IN107" s="11"/>
      <c r="IO107" s="11"/>
      <c r="IP107" s="11"/>
      <c r="IQ107" s="11"/>
      <c r="IR107" s="11"/>
      <c r="IS107" s="11"/>
    </row>
    <row r="108" spans="1:253" s="12" customFormat="1" ht="16.899999999999999" customHeight="1">
      <c r="A108" s="39">
        <v>41020000</v>
      </c>
      <c r="B108" s="30" t="s">
        <v>74</v>
      </c>
      <c r="C108" s="61">
        <f t="shared" si="4"/>
        <v>23397900</v>
      </c>
      <c r="D108" s="52">
        <f>D109+D110</f>
        <v>23397900</v>
      </c>
      <c r="E108" s="52"/>
      <c r="F108" s="62"/>
      <c r="G108" s="11"/>
      <c r="H108" s="11"/>
      <c r="I108" s="11"/>
      <c r="J108" s="11"/>
      <c r="K108" s="11"/>
      <c r="L108" s="11"/>
      <c r="IK108" s="11"/>
      <c r="IL108" s="11"/>
      <c r="IM108" s="11"/>
      <c r="IN108" s="11"/>
      <c r="IO108" s="11"/>
      <c r="IP108" s="11"/>
      <c r="IQ108" s="11"/>
      <c r="IR108" s="11"/>
      <c r="IS108" s="11"/>
    </row>
    <row r="109" spans="1:253" s="16" customFormat="1" ht="18.600000000000001" customHeight="1">
      <c r="A109" s="39">
        <v>41020100</v>
      </c>
      <c r="B109" s="30" t="s">
        <v>106</v>
      </c>
      <c r="C109" s="61">
        <f t="shared" si="4"/>
        <v>9088200</v>
      </c>
      <c r="D109" s="52">
        <v>9088200</v>
      </c>
      <c r="E109" s="52"/>
      <c r="F109" s="62"/>
      <c r="G109" s="15"/>
      <c r="H109" s="15"/>
      <c r="I109" s="15"/>
      <c r="J109" s="15"/>
      <c r="K109" s="15"/>
      <c r="L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6" customFormat="1" ht="47.45" customHeight="1">
      <c r="A110" s="39">
        <v>41021000</v>
      </c>
      <c r="B110" s="30" t="s">
        <v>76</v>
      </c>
      <c r="C110" s="61">
        <f t="shared" si="4"/>
        <v>14309700</v>
      </c>
      <c r="D110" s="52">
        <v>14309700</v>
      </c>
      <c r="E110" s="52"/>
      <c r="F110" s="62"/>
      <c r="G110" s="15"/>
      <c r="H110" s="15"/>
      <c r="I110" s="15"/>
      <c r="J110" s="15"/>
      <c r="K110" s="15"/>
      <c r="L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2" customFormat="1" ht="15.6" customHeight="1">
      <c r="A111" s="39">
        <v>41030000</v>
      </c>
      <c r="B111" s="30" t="s">
        <v>77</v>
      </c>
      <c r="C111" s="61">
        <f t="shared" si="4"/>
        <v>214470800</v>
      </c>
      <c r="D111" s="61">
        <f>SUM(D112:D112)</f>
        <v>214470800</v>
      </c>
      <c r="E111" s="61"/>
      <c r="F111" s="61"/>
      <c r="G111" s="11"/>
      <c r="H111" s="11"/>
      <c r="I111" s="11"/>
      <c r="J111" s="11"/>
      <c r="K111" s="11"/>
      <c r="L111" s="11"/>
      <c r="IK111" s="11"/>
      <c r="IL111" s="11"/>
      <c r="IM111" s="11"/>
      <c r="IN111" s="11"/>
      <c r="IO111" s="11"/>
      <c r="IP111" s="11"/>
      <c r="IQ111" s="11"/>
      <c r="IR111" s="11"/>
      <c r="IS111" s="11"/>
    </row>
    <row r="112" spans="1:253" s="16" customFormat="1" ht="16.149999999999999" customHeight="1">
      <c r="A112" s="39">
        <v>41033900</v>
      </c>
      <c r="B112" s="29" t="s">
        <v>47</v>
      </c>
      <c r="C112" s="61">
        <f t="shared" si="4"/>
        <v>214470800</v>
      </c>
      <c r="D112" s="52">
        <f>238300900-23830100</f>
        <v>214470800</v>
      </c>
      <c r="E112" s="52"/>
      <c r="F112" s="62"/>
      <c r="G112" s="15"/>
      <c r="H112" s="15"/>
      <c r="I112" s="15"/>
      <c r="J112" s="15"/>
      <c r="K112" s="15"/>
      <c r="L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73" customFormat="1" ht="19.149999999999999" customHeight="1">
      <c r="A113" s="44">
        <v>41040000</v>
      </c>
      <c r="B113" s="29" t="s">
        <v>78</v>
      </c>
      <c r="C113" s="77">
        <f>D113+E113</f>
        <v>7735171.4299999997</v>
      </c>
      <c r="D113" s="76">
        <f>D115+D114</f>
        <v>7735171.4299999997</v>
      </c>
      <c r="E113" s="52"/>
      <c r="F113" s="62"/>
      <c r="G113" s="71"/>
      <c r="H113" s="72"/>
      <c r="I113" s="71"/>
      <c r="J113" s="71"/>
      <c r="K113" s="71"/>
      <c r="L113" s="71"/>
      <c r="IK113" s="71"/>
      <c r="IL113" s="71"/>
      <c r="IM113" s="71"/>
      <c r="IN113" s="71"/>
      <c r="IO113" s="71"/>
      <c r="IP113" s="71"/>
      <c r="IQ113" s="71"/>
      <c r="IR113" s="71"/>
      <c r="IS113" s="71"/>
    </row>
    <row r="114" spans="1:253" s="73" customFormat="1" ht="19.149999999999999" customHeight="1">
      <c r="A114" s="39">
        <v>41040400</v>
      </c>
      <c r="B114" s="30" t="s">
        <v>121</v>
      </c>
      <c r="C114" s="77">
        <f>D114+E114</f>
        <v>1489471.43</v>
      </c>
      <c r="D114" s="76">
        <f>1286000+48199.42+55135.2+24247.3+18231.56+35142.13+22515.82</f>
        <v>1489471.43</v>
      </c>
      <c r="E114" s="52"/>
      <c r="F114" s="62"/>
      <c r="G114" s="71"/>
      <c r="H114" s="72"/>
      <c r="I114" s="71"/>
      <c r="J114" s="71"/>
      <c r="K114" s="71"/>
      <c r="L114" s="71"/>
      <c r="IK114" s="71"/>
      <c r="IL114" s="71"/>
      <c r="IM114" s="71"/>
      <c r="IN114" s="71"/>
      <c r="IO114" s="71"/>
      <c r="IP114" s="71"/>
      <c r="IQ114" s="71"/>
      <c r="IR114" s="71"/>
      <c r="IS114" s="71"/>
    </row>
    <row r="115" spans="1:253" s="73" customFormat="1" ht="79.900000000000006" customHeight="1">
      <c r="A115" s="44">
        <v>41040500</v>
      </c>
      <c r="B115" s="29" t="s">
        <v>113</v>
      </c>
      <c r="C115" s="61">
        <f>D115+E115</f>
        <v>6245700</v>
      </c>
      <c r="D115" s="52">
        <v>6245700</v>
      </c>
      <c r="E115" s="52"/>
      <c r="F115" s="62"/>
      <c r="G115" s="71"/>
      <c r="H115" s="72"/>
      <c r="I115" s="71"/>
      <c r="J115" s="71"/>
      <c r="K115" s="71"/>
      <c r="L115" s="71"/>
      <c r="IK115" s="71"/>
      <c r="IL115" s="71"/>
      <c r="IM115" s="71"/>
      <c r="IN115" s="71"/>
      <c r="IO115" s="71"/>
      <c r="IP115" s="71"/>
      <c r="IQ115" s="71"/>
      <c r="IR115" s="71"/>
      <c r="IS115" s="71"/>
    </row>
    <row r="116" spans="1:253" s="73" customFormat="1" ht="18" customHeight="1">
      <c r="A116" s="44">
        <v>41050000</v>
      </c>
      <c r="B116" s="29" t="s">
        <v>72</v>
      </c>
      <c r="C116" s="61">
        <f>D116+E116</f>
        <v>6125874</v>
      </c>
      <c r="D116" s="52">
        <f>+D117++D119+D120</f>
        <v>6125874</v>
      </c>
      <c r="E116" s="52">
        <f>E117++E119+E120</f>
        <v>0</v>
      </c>
      <c r="F116" s="52">
        <f>F117++F119+F120</f>
        <v>0</v>
      </c>
      <c r="G116" s="71"/>
      <c r="H116" s="72"/>
      <c r="I116" s="71"/>
      <c r="J116" s="71"/>
      <c r="K116" s="71"/>
      <c r="L116" s="71"/>
      <c r="IK116" s="71"/>
      <c r="IL116" s="71"/>
      <c r="IM116" s="71"/>
      <c r="IN116" s="71"/>
      <c r="IO116" s="71"/>
      <c r="IP116" s="71"/>
      <c r="IQ116" s="71"/>
      <c r="IR116" s="71"/>
      <c r="IS116" s="71"/>
    </row>
    <row r="117" spans="1:253" s="73" customFormat="1" ht="34.15" customHeight="1">
      <c r="A117" s="44">
        <v>41051000</v>
      </c>
      <c r="B117" s="29" t="s">
        <v>90</v>
      </c>
      <c r="C117" s="61">
        <f>D117</f>
        <v>1022224</v>
      </c>
      <c r="D117" s="52">
        <f>D118</f>
        <v>1022224</v>
      </c>
      <c r="E117" s="52"/>
      <c r="F117" s="62"/>
      <c r="G117" s="71"/>
      <c r="H117" s="72"/>
      <c r="I117" s="71"/>
      <c r="J117" s="71"/>
      <c r="K117" s="71"/>
      <c r="L117" s="71"/>
      <c r="IK117" s="71"/>
      <c r="IL117" s="71"/>
      <c r="IM117" s="71"/>
      <c r="IN117" s="71"/>
      <c r="IO117" s="71"/>
      <c r="IP117" s="71"/>
      <c r="IQ117" s="71"/>
      <c r="IR117" s="71"/>
      <c r="IS117" s="71"/>
    </row>
    <row r="118" spans="1:253" s="73" customFormat="1" ht="16.899999999999999" customHeight="1">
      <c r="A118" s="44"/>
      <c r="B118" s="75" t="s">
        <v>118</v>
      </c>
      <c r="C118" s="61">
        <f>D118</f>
        <v>1022224</v>
      </c>
      <c r="D118" s="52">
        <f>873526+251652-102954</f>
        <v>1022224</v>
      </c>
      <c r="E118" s="52"/>
      <c r="F118" s="62"/>
      <c r="G118" s="71"/>
      <c r="H118" s="72"/>
      <c r="I118" s="71"/>
      <c r="J118" s="71"/>
      <c r="K118" s="71"/>
      <c r="L118" s="71"/>
      <c r="IK118" s="71"/>
      <c r="IL118" s="71"/>
      <c r="IM118" s="71"/>
      <c r="IN118" s="71"/>
      <c r="IO118" s="71"/>
      <c r="IP118" s="71"/>
      <c r="IQ118" s="71"/>
      <c r="IR118" s="71"/>
      <c r="IS118" s="71"/>
    </row>
    <row r="119" spans="1:253" s="16" customFormat="1" ht="46.15" customHeight="1">
      <c r="A119" s="44">
        <v>41051200</v>
      </c>
      <c r="B119" s="31" t="s">
        <v>84</v>
      </c>
      <c r="C119" s="61">
        <f>D119+E119</f>
        <v>2670506</v>
      </c>
      <c r="D119" s="52">
        <f>2967211-296705</f>
        <v>2670506</v>
      </c>
      <c r="E119" s="52"/>
      <c r="F119" s="62"/>
      <c r="G119" s="15"/>
      <c r="H119" s="25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15" customHeight="1">
      <c r="A120" s="44">
        <v>41053900</v>
      </c>
      <c r="B120" s="29" t="s">
        <v>73</v>
      </c>
      <c r="C120" s="61">
        <f>D120+E120</f>
        <v>2433144</v>
      </c>
      <c r="D120" s="52">
        <f>D122+D123+D124+D125+D128+D129</f>
        <v>2433144</v>
      </c>
      <c r="E120" s="52">
        <f>+E122+E123</f>
        <v>0</v>
      </c>
      <c r="F120" s="62">
        <f>F122+F123</f>
        <v>0</v>
      </c>
      <c r="G120" s="15"/>
      <c r="H120" s="25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15" customHeight="1">
      <c r="A121" s="44"/>
      <c r="B121" s="29" t="s">
        <v>69</v>
      </c>
      <c r="C121" s="61"/>
      <c r="D121" s="52"/>
      <c r="E121" s="52"/>
      <c r="F121" s="62"/>
      <c r="G121" s="15"/>
      <c r="H121" s="25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33" customHeight="1">
      <c r="A122" s="44"/>
      <c r="B122" s="29" t="s">
        <v>114</v>
      </c>
      <c r="C122" s="61">
        <f t="shared" ref="C122:C128" si="5">D122</f>
        <v>92673</v>
      </c>
      <c r="D122" s="52">
        <v>92673</v>
      </c>
      <c r="E122" s="52"/>
      <c r="F122" s="62"/>
      <c r="G122" s="15"/>
      <c r="H122" s="25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33" customHeight="1">
      <c r="A123" s="39"/>
      <c r="B123" s="49" t="s">
        <v>122</v>
      </c>
      <c r="C123" s="61">
        <f t="shared" si="5"/>
        <v>2090000</v>
      </c>
      <c r="D123" s="52">
        <f>2140000-50000</f>
        <v>2090000</v>
      </c>
      <c r="E123" s="62"/>
      <c r="F123" s="62"/>
      <c r="G123" s="15"/>
      <c r="H123" s="47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35.450000000000003" customHeight="1">
      <c r="A124" s="44"/>
      <c r="B124" s="69" t="s">
        <v>131</v>
      </c>
      <c r="C124" s="61">
        <f t="shared" si="5"/>
        <v>60000</v>
      </c>
      <c r="D124" s="52">
        <v>60000</v>
      </c>
      <c r="E124" s="52"/>
      <c r="F124" s="62"/>
      <c r="G124" s="15"/>
      <c r="H124" s="47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18.600000000000001" customHeight="1">
      <c r="A125" s="44"/>
      <c r="B125" s="69" t="s">
        <v>115</v>
      </c>
      <c r="C125" s="61">
        <f t="shared" si="5"/>
        <v>125471</v>
      </c>
      <c r="D125" s="52">
        <f>D126+D127</f>
        <v>125471</v>
      </c>
      <c r="E125" s="52"/>
      <c r="F125" s="62"/>
      <c r="G125" s="15"/>
      <c r="H125" s="47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31.5">
      <c r="A126" s="44"/>
      <c r="B126" s="74" t="s">
        <v>116</v>
      </c>
      <c r="C126" s="61">
        <f t="shared" si="5"/>
        <v>61148</v>
      </c>
      <c r="D126" s="52">
        <v>61148</v>
      </c>
      <c r="E126" s="52"/>
      <c r="F126" s="62"/>
      <c r="G126" s="15"/>
      <c r="H126" s="47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31.5">
      <c r="A127" s="44"/>
      <c r="B127" s="74" t="s">
        <v>117</v>
      </c>
      <c r="C127" s="61">
        <f t="shared" si="5"/>
        <v>64323</v>
      </c>
      <c r="D127" s="52">
        <v>64323</v>
      </c>
      <c r="E127" s="52"/>
      <c r="F127" s="62"/>
      <c r="G127" s="15"/>
      <c r="H127" s="47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48" customHeight="1">
      <c r="A128" s="44"/>
      <c r="B128" s="69" t="s">
        <v>102</v>
      </c>
      <c r="C128" s="61">
        <f t="shared" si="5"/>
        <v>65000</v>
      </c>
      <c r="D128" s="52">
        <v>65000</v>
      </c>
      <c r="E128" s="52"/>
      <c r="F128" s="62"/>
      <c r="G128" s="21"/>
      <c r="H128" s="47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31.5" hidden="1">
      <c r="A129" s="39"/>
      <c r="B129" s="46" t="s">
        <v>125</v>
      </c>
      <c r="C129" s="61">
        <f>D129</f>
        <v>0</v>
      </c>
      <c r="D129" s="62">
        <f>20000-20000</f>
        <v>0</v>
      </c>
      <c r="E129" s="62"/>
      <c r="F129" s="62"/>
      <c r="G129" s="15"/>
      <c r="H129" s="47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16.149999999999999" customHeight="1">
      <c r="A130" s="37" t="s">
        <v>109</v>
      </c>
      <c r="B130" s="70" t="s">
        <v>88</v>
      </c>
      <c r="C130" s="78">
        <f>D130+E130</f>
        <v>974413317.43000007</v>
      </c>
      <c r="D130" s="78">
        <f>D105+D106</f>
        <v>934108445.43000007</v>
      </c>
      <c r="E130" s="63">
        <f>E105+E106</f>
        <v>40304872</v>
      </c>
      <c r="F130" s="63">
        <f>F105+F106</f>
        <v>300000</v>
      </c>
      <c r="G130" s="15"/>
      <c r="H130" s="15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7.15" customHeight="1">
      <c r="A131" s="26"/>
      <c r="B131" s="51"/>
      <c r="C131" s="64"/>
      <c r="D131" s="64"/>
      <c r="E131" s="64"/>
      <c r="F131" s="64"/>
      <c r="G131" s="15"/>
      <c r="H131" s="15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24" customHeight="1">
      <c r="A132" s="26"/>
      <c r="B132" s="51"/>
      <c r="C132" s="64"/>
      <c r="D132" s="64"/>
      <c r="E132" s="64"/>
      <c r="F132" s="64"/>
      <c r="G132" s="15"/>
      <c r="H132" s="15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6.149999999999999" customHeight="1">
      <c r="A133" s="26"/>
      <c r="B133" s="34"/>
      <c r="C133" s="64"/>
      <c r="D133" s="64"/>
      <c r="G133" s="15"/>
      <c r="H133" s="15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8" customFormat="1" ht="25.9" customHeight="1">
      <c r="A134" s="83" t="s">
        <v>129</v>
      </c>
      <c r="B134" s="83"/>
      <c r="C134" s="65"/>
      <c r="E134" s="82" t="s">
        <v>130</v>
      </c>
      <c r="F134" s="82"/>
      <c r="G134" s="7"/>
      <c r="H134" s="7"/>
      <c r="I134" s="7"/>
      <c r="J134" s="7"/>
      <c r="K134" s="7"/>
      <c r="L134" s="7"/>
      <c r="IK134" s="7"/>
      <c r="IL134" s="7"/>
      <c r="IM134" s="7"/>
      <c r="IN134" s="7"/>
      <c r="IO134" s="7"/>
      <c r="IP134" s="7"/>
      <c r="IQ134" s="7"/>
      <c r="IR134" s="7"/>
      <c r="IS134" s="7"/>
    </row>
    <row r="135" spans="1:253" ht="14.25" customHeight="1">
      <c r="B135" s="7"/>
    </row>
    <row r="136" spans="1:253" ht="27.75" customHeight="1">
      <c r="B136" s="7"/>
      <c r="D136" s="66"/>
    </row>
    <row r="137" spans="1:253" s="5" customFormat="1" ht="18.75">
      <c r="A137" s="1"/>
      <c r="B137" s="48"/>
      <c r="C137" s="67"/>
      <c r="D137" s="68"/>
      <c r="E137" s="68"/>
      <c r="F137" s="68"/>
      <c r="G137" s="4"/>
      <c r="H137" s="4"/>
      <c r="I137" s="4"/>
      <c r="J137" s="4"/>
      <c r="K137" s="4"/>
      <c r="L137" s="4"/>
      <c r="IK137" s="4"/>
      <c r="IL137" s="4"/>
      <c r="IM137" s="4"/>
      <c r="IN137" s="4"/>
      <c r="IO137" s="4"/>
      <c r="IP137" s="4"/>
      <c r="IQ137" s="4"/>
      <c r="IR137" s="4"/>
      <c r="IS137" s="4"/>
    </row>
    <row r="138" spans="1:253">
      <c r="B138" s="1"/>
    </row>
    <row r="139" spans="1:253">
      <c r="B139" s="1"/>
    </row>
    <row r="140" spans="1:253">
      <c r="B140" s="1"/>
    </row>
    <row r="141" spans="1:253">
      <c r="B141" s="1"/>
    </row>
    <row r="142" spans="1:253">
      <c r="B142" s="1"/>
    </row>
    <row r="147" ht="32.25" customHeight="1"/>
  </sheetData>
  <mergeCells count="10">
    <mergeCell ref="E134:F134"/>
    <mergeCell ref="A134:B134"/>
    <mergeCell ref="A6:F6"/>
    <mergeCell ref="E11:F11"/>
    <mergeCell ref="C11:C12"/>
    <mergeCell ref="D11:D12"/>
    <mergeCell ref="A11:A12"/>
    <mergeCell ref="B11:B12"/>
    <mergeCell ref="B7:E7"/>
    <mergeCell ref="B8:E8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rowBreaks count="1" manualBreakCount="1">
    <brk id="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2022-12-29T07:33:15Z</cp:lastPrinted>
  <dcterms:created xsi:type="dcterms:W3CDTF">2014-01-17T10:52:16Z</dcterms:created>
  <dcterms:modified xsi:type="dcterms:W3CDTF">2022-12-29T12:16:56Z</dcterms:modified>
</cp:coreProperties>
</file>